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CCOUNTER03\Desktop\EVENTOS\"/>
    </mc:Choice>
  </mc:AlternateContent>
  <xr:revisionPtr revIDLastSave="0" documentId="8_{AC7E64C9-7D15-431C-ACF2-5A86D01CF0F7}" xr6:coauthVersionLast="47" xr6:coauthVersionMax="47" xr10:uidLastSave="{00000000-0000-0000-0000-000000000000}"/>
  <bookViews>
    <workbookView xWindow="780" yWindow="780" windowWidth="15405" windowHeight="15255" xr2:uid="{F511F89B-B959-4A4A-9C74-B373612B51E2}"/>
  </bookViews>
  <sheets>
    <sheet name="Info Adicional" sheetId="46" r:id="rId1"/>
    <sheet name="HW PYMES" sheetId="5" r:id="rId2"/>
    <sheet name="ESF_ERI_PYMES" sheetId="4" r:id="rId3"/>
    <sheet name="EST FIN" sheetId="32" r:id="rId4"/>
  </sheets>
  <externalReferences>
    <externalReference r:id="rId5"/>
  </externalReferences>
  <definedNames>
    <definedName name="_xlnm._FilterDatabase" localSheetId="1" hidden="1">'HW PYMES'!$A$4:$P$197</definedName>
    <definedName name="D">[1]Hoja1!$A$2:$A$6</definedName>
    <definedName name="ExportarAExcel" localSheetId="3">#REF!</definedName>
    <definedName name="ExportarAExcel">#REF!</definedName>
  </definedNames>
  <calcPr calcId="19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3" i="32" l="1"/>
  <c r="N56" i="5"/>
  <c r="F4" i="4" l="1"/>
  <c r="H73" i="46"/>
  <c r="H74" i="46" s="1"/>
  <c r="K64" i="46"/>
  <c r="K68" i="46" s="1"/>
  <c r="K58" i="46"/>
  <c r="H68" i="46"/>
  <c r="F66" i="46"/>
  <c r="K66" i="46" s="1"/>
  <c r="F58" i="46"/>
  <c r="F64" i="46"/>
  <c r="F68" i="46" s="1"/>
  <c r="F62" i="46" s="1"/>
  <c r="K62" i="46" s="1"/>
  <c r="F61" i="46"/>
  <c r="K61" i="46" s="1"/>
  <c r="F56" i="46"/>
  <c r="D74" i="46"/>
  <c r="D68" i="46"/>
  <c r="D62" i="46" s="1"/>
  <c r="B68" i="46"/>
  <c r="B62" i="46" s="1"/>
  <c r="Q43" i="46"/>
  <c r="L41" i="46" s="1"/>
  <c r="O29" i="46"/>
  <c r="Q25" i="46"/>
  <c r="N20" i="46"/>
  <c r="S19" i="46" s="1"/>
  <c r="S20" i="46" s="1"/>
  <c r="Q27" i="46" s="1"/>
  <c r="Q26" i="46"/>
  <c r="P28" i="46"/>
  <c r="P33" i="46" s="1"/>
  <c r="P27" i="46"/>
  <c r="P25" i="46"/>
  <c r="P24" i="46"/>
  <c r="R24" i="46" s="1"/>
  <c r="N26" i="46"/>
  <c r="P26" i="46" s="1"/>
  <c r="S17" i="46"/>
  <c r="Q28" i="46" s="1"/>
  <c r="N17" i="46"/>
  <c r="G62" i="46" l="1"/>
  <c r="K56" i="46"/>
  <c r="H62" i="46"/>
  <c r="H61" i="46"/>
  <c r="C62" i="46"/>
  <c r="E62" i="46"/>
  <c r="N43" i="46"/>
  <c r="N44" i="46" s="1"/>
  <c r="P29" i="46"/>
  <c r="Q29" i="46"/>
  <c r="R25" i="46"/>
  <c r="R26" i="46"/>
  <c r="R27" i="46"/>
  <c r="R32" i="46" s="1"/>
  <c r="N29" i="46"/>
  <c r="P32" i="46"/>
  <c r="R28" i="46"/>
  <c r="R33" i="46" s="1"/>
  <c r="P31" i="46"/>
  <c r="I62" i="46" l="1"/>
  <c r="R29" i="46"/>
  <c r="R31" i="46"/>
  <c r="X194" i="32" l="1"/>
  <c r="E195" i="5" l="1"/>
  <c r="N76" i="5"/>
  <c r="G35" i="32" s="1"/>
  <c r="G46" i="32"/>
  <c r="I183" i="5" l="1"/>
  <c r="O46" i="32"/>
  <c r="X46" i="32"/>
  <c r="X45" i="32" l="1"/>
  <c r="O45" i="32"/>
  <c r="X34" i="32"/>
  <c r="Y45" i="32" l="1"/>
  <c r="M194" i="5" l="1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X84" i="32" s="1"/>
  <c r="M96" i="5"/>
  <c r="M95" i="5"/>
  <c r="M94" i="5"/>
  <c r="M93" i="5"/>
  <c r="M92" i="5"/>
  <c r="M91" i="5"/>
  <c r="I171" i="5"/>
  <c r="I163" i="5"/>
  <c r="I28" i="5"/>
  <c r="I19" i="5"/>
  <c r="I11" i="5"/>
  <c r="I10" i="5"/>
  <c r="I9" i="5"/>
  <c r="I8" i="5"/>
  <c r="K195" i="5"/>
  <c r="L195" i="5"/>
  <c r="I52" i="5"/>
  <c r="M52" i="5" s="1"/>
  <c r="X154" i="32" l="1"/>
  <c r="X178" i="32" s="1"/>
  <c r="M19" i="5"/>
  <c r="X79" i="32"/>
  <c r="X78" i="32"/>
  <c r="X85" i="32"/>
  <c r="M10" i="5"/>
  <c r="M9" i="5"/>
  <c r="M28" i="5"/>
  <c r="M8" i="5"/>
  <c r="M11" i="5"/>
  <c r="J195" i="5"/>
  <c r="L196" i="5"/>
  <c r="X86" i="32" l="1"/>
  <c r="X181" i="32"/>
  <c r="X80" i="32"/>
  <c r="I102" i="5" l="1"/>
  <c r="I101" i="5"/>
  <c r="I100" i="5"/>
  <c r="I99" i="5"/>
  <c r="I98" i="5"/>
  <c r="I97" i="5"/>
  <c r="I96" i="5"/>
  <c r="I95" i="5"/>
  <c r="I94" i="5"/>
  <c r="I93" i="5"/>
  <c r="I92" i="5"/>
  <c r="I91" i="5"/>
  <c r="O78" i="32" l="1"/>
  <c r="O84" i="32"/>
  <c r="O154" i="32" l="1"/>
  <c r="O178" i="32" s="1"/>
  <c r="F58" i="4" l="1"/>
  <c r="G58" i="4"/>
  <c r="H58" i="4"/>
  <c r="F24" i="4"/>
  <c r="G24" i="4"/>
  <c r="H24" i="4"/>
  <c r="F26" i="4"/>
  <c r="X36" i="32" s="1"/>
  <c r="G26" i="4"/>
  <c r="O36" i="32" s="1"/>
  <c r="H26" i="4"/>
  <c r="G36" i="32" s="1"/>
  <c r="F28" i="4"/>
  <c r="X37" i="32" s="1"/>
  <c r="G28" i="4"/>
  <c r="O37" i="32" s="1"/>
  <c r="H28" i="4"/>
  <c r="G37" i="32" s="1"/>
  <c r="F30" i="4"/>
  <c r="X38" i="32" s="1"/>
  <c r="G30" i="4"/>
  <c r="O38" i="32" s="1"/>
  <c r="H30" i="4"/>
  <c r="G38" i="32" s="1"/>
  <c r="F32" i="4"/>
  <c r="X47" i="32" s="1"/>
  <c r="G32" i="4"/>
  <c r="O47" i="32" s="1"/>
  <c r="H32" i="4"/>
  <c r="G47" i="32" s="1"/>
  <c r="F34" i="4"/>
  <c r="X55" i="32" s="1"/>
  <c r="G34" i="4"/>
  <c r="O55" i="32" s="1"/>
  <c r="H34" i="4"/>
  <c r="G55" i="32" s="1"/>
  <c r="F36" i="4"/>
  <c r="X56" i="32" s="1"/>
  <c r="G36" i="4"/>
  <c r="O56" i="32" s="1"/>
  <c r="H36" i="4"/>
  <c r="G56" i="32" s="1"/>
  <c r="L105" i="32" s="1"/>
  <c r="F38" i="4"/>
  <c r="X57" i="32" s="1"/>
  <c r="G38" i="4"/>
  <c r="O57" i="32" s="1"/>
  <c r="H38" i="4"/>
  <c r="G57" i="32" s="1"/>
  <c r="F40" i="4"/>
  <c r="X58" i="32" s="1"/>
  <c r="G40" i="4"/>
  <c r="O58" i="32" s="1"/>
  <c r="H40" i="4"/>
  <c r="G58" i="32" s="1"/>
  <c r="F42" i="4"/>
  <c r="G42" i="4"/>
  <c r="H42" i="4"/>
  <c r="F44" i="4"/>
  <c r="X72" i="32" s="1"/>
  <c r="G44" i="4"/>
  <c r="O72" i="32" s="1"/>
  <c r="H44" i="4"/>
  <c r="G72" i="32" s="1"/>
  <c r="F46" i="4"/>
  <c r="X73" i="32" s="1"/>
  <c r="G46" i="4"/>
  <c r="O73" i="32" s="1"/>
  <c r="H46" i="4"/>
  <c r="G73" i="32" s="1"/>
  <c r="F48" i="4"/>
  <c r="X77" i="32" s="1"/>
  <c r="G48" i="4"/>
  <c r="O77" i="32" s="1"/>
  <c r="H48" i="4"/>
  <c r="G77" i="32" s="1"/>
  <c r="F50" i="4"/>
  <c r="G50" i="4"/>
  <c r="H50" i="4"/>
  <c r="F52" i="4"/>
  <c r="G52" i="4"/>
  <c r="H52" i="4"/>
  <c r="F54" i="4"/>
  <c r="X87" i="32" s="1"/>
  <c r="G54" i="4"/>
  <c r="O87" i="32" s="1"/>
  <c r="H54" i="4"/>
  <c r="G87" i="32" s="1"/>
  <c r="F56" i="4"/>
  <c r="X93" i="32" s="1"/>
  <c r="G56" i="4"/>
  <c r="O93" i="32" s="1"/>
  <c r="H56" i="4"/>
  <c r="G93" i="32" s="1"/>
  <c r="H21" i="4"/>
  <c r="G21" i="4"/>
  <c r="F21" i="4"/>
  <c r="H19" i="4"/>
  <c r="G19" i="4"/>
  <c r="F19" i="4"/>
  <c r="F17" i="4"/>
  <c r="G17" i="4"/>
  <c r="H17" i="4"/>
  <c r="K109" i="32" l="1"/>
  <c r="L109" i="32"/>
  <c r="L106" i="32" s="1"/>
  <c r="K106" i="32" s="1"/>
  <c r="N106" i="32" s="1"/>
  <c r="L113" i="32"/>
  <c r="M113" i="32"/>
  <c r="X148" i="32"/>
  <c r="X147" i="32"/>
  <c r="X75" i="32"/>
  <c r="X82" i="32" s="1"/>
  <c r="X91" i="32" s="1"/>
  <c r="X95" i="32" s="1"/>
  <c r="X126" i="32" s="1"/>
  <c r="K113" i="32"/>
  <c r="X185" i="32"/>
  <c r="O148" i="32"/>
  <c r="K105" i="32"/>
  <c r="G60" i="32"/>
  <c r="X22" i="32"/>
  <c r="X23" i="32"/>
  <c r="O185" i="32"/>
  <c r="O60" i="32"/>
  <c r="O147" i="32"/>
  <c r="G22" i="32"/>
  <c r="O23" i="32"/>
  <c r="M105" i="32"/>
  <c r="X60" i="32"/>
  <c r="O22" i="32"/>
  <c r="G23" i="32"/>
  <c r="M109" i="32"/>
  <c r="O75" i="32"/>
  <c r="K116" i="32" l="1"/>
  <c r="X97" i="32"/>
  <c r="L116" i="32"/>
  <c r="N113" i="32"/>
  <c r="O113" i="32" s="1"/>
  <c r="M108" i="32"/>
  <c r="N109" i="32"/>
  <c r="K107" i="32"/>
  <c r="N107" i="32" s="1"/>
  <c r="L115" i="32"/>
  <c r="N105" i="32"/>
  <c r="O105" i="32" s="1"/>
  <c r="G75" i="32"/>
  <c r="K115" i="32" l="1"/>
  <c r="O109" i="32"/>
  <c r="N111" i="32"/>
  <c r="N110" i="32"/>
  <c r="M115" i="32"/>
  <c r="N108" i="32"/>
  <c r="N115" i="32" s="1"/>
  <c r="I49" i="5" l="1"/>
  <c r="I161" i="5"/>
  <c r="M49" i="5" l="1"/>
  <c r="I57" i="5" l="1"/>
  <c r="I176" i="5"/>
  <c r="M57" i="5" l="1"/>
  <c r="G34" i="32" l="1"/>
  <c r="G45" i="32"/>
  <c r="P45" i="32" s="1"/>
  <c r="O34" i="32"/>
  <c r="H4" i="4"/>
  <c r="G11" i="32" l="1"/>
  <c r="O202" i="32" s="1"/>
  <c r="P34" i="32"/>
  <c r="Y34" i="32"/>
  <c r="O181" i="32" l="1"/>
  <c r="I193" i="5" l="1"/>
  <c r="I192" i="5"/>
  <c r="I191" i="5"/>
  <c r="I190" i="5"/>
  <c r="I189" i="5"/>
  <c r="I188" i="5"/>
  <c r="I187" i="5"/>
  <c r="I186" i="5"/>
  <c r="I185" i="5"/>
  <c r="I184" i="5"/>
  <c r="I182" i="5"/>
  <c r="I181" i="5"/>
  <c r="I180" i="5"/>
  <c r="I179" i="5"/>
  <c r="I177" i="5"/>
  <c r="I175" i="5"/>
  <c r="I174" i="5"/>
  <c r="I173" i="5"/>
  <c r="I172" i="5"/>
  <c r="I170" i="5"/>
  <c r="I169" i="5"/>
  <c r="I168" i="5"/>
  <c r="I167" i="5"/>
  <c r="I166" i="5"/>
  <c r="I165" i="5"/>
  <c r="I164" i="5"/>
  <c r="I162" i="5"/>
  <c r="I160" i="5"/>
  <c r="I159" i="5"/>
  <c r="I158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O85" i="32" l="1"/>
  <c r="G84" i="32"/>
  <c r="I90" i="5"/>
  <c r="I84" i="5"/>
  <c r="M84" i="5" s="1"/>
  <c r="I82" i="5"/>
  <c r="I77" i="5"/>
  <c r="M77" i="5" s="1"/>
  <c r="I71" i="5"/>
  <c r="M71" i="5" s="1"/>
  <c r="I70" i="5"/>
  <c r="M70" i="5" s="1"/>
  <c r="I60" i="5"/>
  <c r="M60" i="5" s="1"/>
  <c r="I45" i="5"/>
  <c r="M45" i="5" s="1"/>
  <c r="I42" i="5"/>
  <c r="M42" i="5" s="1"/>
  <c r="I37" i="5"/>
  <c r="M37" i="5" s="1"/>
  <c r="I27" i="5"/>
  <c r="M27" i="5" s="1"/>
  <c r="I26" i="5"/>
  <c r="M26" i="5" s="1"/>
  <c r="I25" i="5"/>
  <c r="M25" i="5" s="1"/>
  <c r="I22" i="5"/>
  <c r="M22" i="5" s="1"/>
  <c r="I21" i="5"/>
  <c r="M21" i="5" s="1"/>
  <c r="I20" i="5"/>
  <c r="M20" i="5" s="1"/>
  <c r="I18" i="5"/>
  <c r="M18" i="5" s="1"/>
  <c r="O86" i="32" l="1"/>
  <c r="G79" i="32"/>
  <c r="M90" i="5"/>
  <c r="M82" i="5"/>
  <c r="G85" i="32"/>
  <c r="G86" i="32" s="1"/>
  <c r="G78" i="32"/>
  <c r="I64" i="5"/>
  <c r="M64" i="5" s="1"/>
  <c r="I76" i="5"/>
  <c r="M76" i="5" s="1"/>
  <c r="I5" i="5"/>
  <c r="I13" i="5"/>
  <c r="M13" i="5" s="1"/>
  <c r="I17" i="5"/>
  <c r="M17" i="5" s="1"/>
  <c r="I56" i="5"/>
  <c r="M56" i="5" s="1"/>
  <c r="I73" i="5"/>
  <c r="M73" i="5" s="1"/>
  <c r="I6" i="5"/>
  <c r="M6" i="5" s="1"/>
  <c r="I14" i="5"/>
  <c r="M14" i="5" s="1"/>
  <c r="I74" i="5"/>
  <c r="M74" i="5" s="1"/>
  <c r="I7" i="5"/>
  <c r="M7" i="5" s="1"/>
  <c r="I15" i="5"/>
  <c r="M15" i="5" s="1"/>
  <c r="O56" i="5"/>
  <c r="I75" i="5"/>
  <c r="M75" i="5" s="1"/>
  <c r="H195" i="5"/>
  <c r="I24" i="5"/>
  <c r="M24" i="5" s="1"/>
  <c r="I23" i="5"/>
  <c r="M23" i="5" s="1"/>
  <c r="G80" i="32" l="1"/>
  <c r="G82" i="32" s="1"/>
  <c r="G91" i="32" s="1"/>
  <c r="G95" i="32" s="1"/>
  <c r="M5" i="5"/>
  <c r="G44" i="32"/>
  <c r="I46" i="5"/>
  <c r="I38" i="5"/>
  <c r="I55" i="5"/>
  <c r="I54" i="5"/>
  <c r="I81" i="5"/>
  <c r="I65" i="5"/>
  <c r="M65" i="5" s="1"/>
  <c r="I80" i="5"/>
  <c r="I72" i="5"/>
  <c r="M72" i="5" s="1"/>
  <c r="I87" i="5"/>
  <c r="I67" i="5"/>
  <c r="M67" i="5" s="1"/>
  <c r="I59" i="5"/>
  <c r="I58" i="5"/>
  <c r="M58" i="5" s="1"/>
  <c r="I85" i="5"/>
  <c r="I69" i="5"/>
  <c r="M69" i="5" s="1"/>
  <c r="I61" i="5"/>
  <c r="M61" i="5" s="1"/>
  <c r="I68" i="5"/>
  <c r="M68" i="5" s="1"/>
  <c r="I83" i="5"/>
  <c r="I63" i="5"/>
  <c r="M63" i="5" s="1"/>
  <c r="I86" i="5"/>
  <c r="I78" i="5"/>
  <c r="M78" i="5" s="1"/>
  <c r="I62" i="5"/>
  <c r="M62" i="5" s="1"/>
  <c r="I89" i="5"/>
  <c r="M89" i="5" s="1"/>
  <c r="I157" i="5"/>
  <c r="G195" i="5"/>
  <c r="H196" i="5" s="1"/>
  <c r="I43" i="5"/>
  <c r="M43" i="5" s="1"/>
  <c r="I41" i="5"/>
  <c r="I39" i="5"/>
  <c r="I40" i="5"/>
  <c r="I31" i="5"/>
  <c r="I34" i="5"/>
  <c r="M34" i="5" s="1"/>
  <c r="I33" i="5"/>
  <c r="I48" i="5"/>
  <c r="I32" i="5"/>
  <c r="I44" i="5"/>
  <c r="I29" i="5"/>
  <c r="I47" i="5"/>
  <c r="I35" i="5"/>
  <c r="M35" i="5" s="1"/>
  <c r="I50" i="5"/>
  <c r="I53" i="5"/>
  <c r="I51" i="5"/>
  <c r="M51" i="5" l="1"/>
  <c r="M50" i="5"/>
  <c r="M47" i="5"/>
  <c r="M44" i="5"/>
  <c r="M48" i="5"/>
  <c r="M46" i="5"/>
  <c r="M40" i="5"/>
  <c r="M41" i="5"/>
  <c r="M38" i="5"/>
  <c r="M53" i="5"/>
  <c r="M29" i="5"/>
  <c r="M32" i="5"/>
  <c r="M33" i="5"/>
  <c r="M31" i="5"/>
  <c r="M39" i="5"/>
  <c r="M59" i="5"/>
  <c r="M54" i="5"/>
  <c r="O58" i="5"/>
  <c r="O44" i="32" s="1"/>
  <c r="M55" i="5"/>
  <c r="N58" i="5"/>
  <c r="O33" i="32" s="1"/>
  <c r="M85" i="5"/>
  <c r="M87" i="5"/>
  <c r="M80" i="5"/>
  <c r="M86" i="5"/>
  <c r="M83" i="5"/>
  <c r="M81" i="5"/>
  <c r="G49" i="32"/>
  <c r="G33" i="32"/>
  <c r="I30" i="5"/>
  <c r="M30" i="5" s="1"/>
  <c r="P33" i="32" l="1"/>
  <c r="O129" i="32" s="1"/>
  <c r="O189" i="32"/>
  <c r="O197" i="32" s="1"/>
  <c r="N60" i="5"/>
  <c r="X33" i="32" s="1"/>
  <c r="O60" i="5"/>
  <c r="X44" i="32" s="1"/>
  <c r="O49" i="32"/>
  <c r="G40" i="32"/>
  <c r="G51" i="32" s="1"/>
  <c r="G62" i="32" s="1"/>
  <c r="Y33" i="32" l="1"/>
  <c r="X49" i="32"/>
  <c r="X189" i="32"/>
  <c r="X197" i="32" s="1"/>
  <c r="I128" i="5" l="1"/>
  <c r="I178" i="5"/>
  <c r="O79" i="32" s="1"/>
  <c r="I194" i="5"/>
  <c r="I88" i="5"/>
  <c r="M88" i="5" s="1"/>
  <c r="I79" i="5"/>
  <c r="I66" i="5"/>
  <c r="N78" i="5" s="1"/>
  <c r="I36" i="5"/>
  <c r="I16" i="5"/>
  <c r="M16" i="5" s="1"/>
  <c r="M36" i="5" l="1"/>
  <c r="M66" i="5"/>
  <c r="N80" i="5" s="1"/>
  <c r="O35" i="32"/>
  <c r="M79" i="5"/>
  <c r="O80" i="32"/>
  <c r="I12" i="5"/>
  <c r="O82" i="32" l="1"/>
  <c r="O91" i="32" s="1"/>
  <c r="O95" i="32" s="1"/>
  <c r="O108" i="32" s="1"/>
  <c r="O146" i="32"/>
  <c r="O40" i="32"/>
  <c r="O51" i="32" s="1"/>
  <c r="O62" i="32" s="1"/>
  <c r="X35" i="32"/>
  <c r="M12" i="5"/>
  <c r="I195" i="5"/>
  <c r="O126" i="32" l="1"/>
  <c r="O97" i="32"/>
  <c r="X146" i="32"/>
  <c r="M112" i="32"/>
  <c r="X40" i="32"/>
  <c r="X51" i="32" s="1"/>
  <c r="X62" i="32" s="1"/>
  <c r="M195" i="5"/>
  <c r="O112" i="32" l="1"/>
  <c r="M116" i="32"/>
  <c r="N112" i="32"/>
  <c r="N116" i="32" s="1"/>
  <c r="F195" i="5"/>
  <c r="H15" i="4"/>
  <c r="G15" i="4"/>
  <c r="F15" i="4"/>
  <c r="X21" i="32" s="1"/>
  <c r="H13" i="4"/>
  <c r="G15" i="32" s="1"/>
  <c r="G13" i="4"/>
  <c r="O15" i="32" s="1"/>
  <c r="F13" i="4"/>
  <c r="X15" i="32" s="1"/>
  <c r="H11" i="4"/>
  <c r="G14" i="32" s="1"/>
  <c r="G11" i="4"/>
  <c r="O14" i="32" s="1"/>
  <c r="F11" i="4"/>
  <c r="X14" i="32" s="1"/>
  <c r="H9" i="4"/>
  <c r="G13" i="32" s="1"/>
  <c r="G9" i="4"/>
  <c r="O13" i="32" s="1"/>
  <c r="F9" i="4"/>
  <c r="X13" i="32" s="1"/>
  <c r="H7" i="4"/>
  <c r="G7" i="4"/>
  <c r="O12" i="32" s="1"/>
  <c r="F7" i="4"/>
  <c r="X12" i="32" s="1"/>
  <c r="X142" i="32" s="1"/>
  <c r="G4" i="4"/>
  <c r="O11" i="32" s="1"/>
  <c r="X202" i="32" s="1"/>
  <c r="X11" i="32"/>
  <c r="O203" i="32" l="1"/>
  <c r="O204" i="32" s="1"/>
  <c r="X203" i="32"/>
  <c r="X204" i="32" s="1"/>
  <c r="X144" i="32"/>
  <c r="O144" i="32"/>
  <c r="X145" i="32"/>
  <c r="X143" i="32"/>
  <c r="O145" i="32"/>
  <c r="O21" i="32"/>
  <c r="G21" i="32"/>
  <c r="G25" i="32" s="1"/>
  <c r="X17" i="32"/>
  <c r="X25" i="32"/>
  <c r="G12" i="32"/>
  <c r="O142" i="32" s="1"/>
  <c r="F60" i="4"/>
  <c r="O143" i="32"/>
  <c r="O17" i="32"/>
  <c r="H60" i="4"/>
  <c r="G60" i="4"/>
  <c r="X149" i="32" l="1"/>
  <c r="X150" i="32" s="1"/>
  <c r="X157" i="32" s="1"/>
  <c r="X199" i="32" s="1"/>
  <c r="X201" i="32" s="1"/>
  <c r="O25" i="32"/>
  <c r="O27" i="32" s="1"/>
  <c r="O64" i="32" s="1"/>
  <c r="X27" i="32"/>
  <c r="X64" i="32" s="1"/>
  <c r="G17" i="32"/>
  <c r="G27" i="32" s="1"/>
  <c r="G64" i="32" s="1"/>
  <c r="O149" i="32"/>
  <c r="O150" i="32" s="1"/>
  <c r="O157" i="32" s="1"/>
  <c r="O199" i="32" s="1"/>
  <c r="O201" i="32" s="1"/>
  <c r="O205" i="32" s="1"/>
  <c r="X205" i="32" l="1"/>
</calcChain>
</file>

<file path=xl/sharedStrings.xml><?xml version="1.0" encoding="utf-8"?>
<sst xmlns="http://schemas.openxmlformats.org/spreadsheetml/2006/main" count="1054" uniqueCount="514">
  <si>
    <t>Cta.mayor</t>
  </si>
  <si>
    <t>Texto breve</t>
  </si>
  <si>
    <t>Caja menores</t>
  </si>
  <si>
    <t>BANCO BILBAO VIZ. ARGENTARIA- BBVA (COP)</t>
  </si>
  <si>
    <t>Cta.ahorro, bancos</t>
  </si>
  <si>
    <t>Deud.,client. nacion</t>
  </si>
  <si>
    <t>Antic./avan. a prov.</t>
  </si>
  <si>
    <t>Antic./avan. a trab.</t>
  </si>
  <si>
    <t>Antic.impto.renta</t>
  </si>
  <si>
    <t>Impto. de industria y comercio retenido</t>
  </si>
  <si>
    <t>Sobr.liquid.priv.d.i</t>
  </si>
  <si>
    <t>MATERIAS PRIMAS</t>
  </si>
  <si>
    <t>Prop.,pl/equ.,terren</t>
  </si>
  <si>
    <t>Constr.curso,constr/</t>
  </si>
  <si>
    <t>Constr./edificacione</t>
  </si>
  <si>
    <t>Constr./edific.prod.</t>
  </si>
  <si>
    <t>Constr./instalacione</t>
  </si>
  <si>
    <t>Maqu/equ. adquirida</t>
  </si>
  <si>
    <t>Equipo de oficina</t>
  </si>
  <si>
    <t>Equ.comp./com.</t>
  </si>
  <si>
    <t>Flota/equ.de transpo</t>
  </si>
  <si>
    <t>Depreciación acumulada, construcciones y edificaci</t>
  </si>
  <si>
    <t>Depreciación acumulada, construcciones produccion</t>
  </si>
  <si>
    <t>Depreciación acumulada, instalaciones</t>
  </si>
  <si>
    <t>Depr.acum,equ.d.ofic</t>
  </si>
  <si>
    <t>Depr.acum,comp/com.</t>
  </si>
  <si>
    <t>Depr.acum,fl/equ.tra</t>
  </si>
  <si>
    <t>Licencias</t>
  </si>
  <si>
    <t>Depreciación y/o amortización acumulada, licencias</t>
  </si>
  <si>
    <t>Obligaciones financieras, bancos nacionales, pagar</t>
  </si>
  <si>
    <t>Obl.fin,bannac,acept</t>
  </si>
  <si>
    <t>Proveed. del exterio</t>
  </si>
  <si>
    <t>Cost./gast.p.pagar,o</t>
  </si>
  <si>
    <t>Ret.fuente,salar/pag</t>
  </si>
  <si>
    <t>Ret.fuente,compras</t>
  </si>
  <si>
    <t>Otras ret./ patrimon</t>
  </si>
  <si>
    <t>Impto.a l.ventas ret</t>
  </si>
  <si>
    <t>Impto.d.ind/com.rete</t>
  </si>
  <si>
    <t>Aport.promot.saludEP</t>
  </si>
  <si>
    <t>Aport.adm.riesgprofA</t>
  </si>
  <si>
    <t>Aport.ICBF,SENA,cajc</t>
  </si>
  <si>
    <t>Acreed.var.,fond.ces</t>
  </si>
  <si>
    <t>Imptos,grav.vig.fisc</t>
  </si>
  <si>
    <t>Impto.s.l.ventas p.p</t>
  </si>
  <si>
    <t>Obl.lab,salarios p.p</t>
  </si>
  <si>
    <t>Indemnizaciones laborales</t>
  </si>
  <si>
    <t>Pasivos estim./prov., para costos y gastos, intere</t>
  </si>
  <si>
    <t>Pasiv.est,obl.lab,ce</t>
  </si>
  <si>
    <t>Pasiv.est,obl.lab,va</t>
  </si>
  <si>
    <t>Pasiv.est,obl.lab,pr</t>
  </si>
  <si>
    <t>Pasivos estimados y provisiones, para obl. laboral</t>
  </si>
  <si>
    <t>Pasivos por impuestos diferidos</t>
  </si>
  <si>
    <t>Antic./avan.recib.cl</t>
  </si>
  <si>
    <t>Patrim,cap.soc.,auto</t>
  </si>
  <si>
    <t>Patrimo, cap social, anticipo recib.por acc a emit</t>
  </si>
  <si>
    <t>Ing.op,const.utilida</t>
  </si>
  <si>
    <t>Ingr.op,transp.carre</t>
  </si>
  <si>
    <t>N.op.,otr.fin,intere</t>
  </si>
  <si>
    <t>N.op.,otr.fin,dif.ca</t>
  </si>
  <si>
    <t>No operacionales, financieros, diferencia en cambi</t>
  </si>
  <si>
    <t>Gast.op.adm,salario</t>
  </si>
  <si>
    <t>Gast.op.adm,cesantía</t>
  </si>
  <si>
    <t>Gast.op.adm,int.cesa</t>
  </si>
  <si>
    <t>Gast.op.adm,prima se</t>
  </si>
  <si>
    <t>Gast.op.adm,vacacion</t>
  </si>
  <si>
    <t>Gast.op.adm,dotación</t>
  </si>
  <si>
    <t>Gast.op.adm,pension.</t>
  </si>
  <si>
    <t>Gast.op.adm,indemniz</t>
  </si>
  <si>
    <t>Gast.op.adm,capacit.</t>
  </si>
  <si>
    <t>Gast.op.adm,riesg.pr</t>
  </si>
  <si>
    <t>Gast.op.adm,prom.sal</t>
  </si>
  <si>
    <t>Gast.op.adm,caj.comp</t>
  </si>
  <si>
    <t>Gast.op.adm,ap.ICBF</t>
  </si>
  <si>
    <t>Gast.op.adm., SENA</t>
  </si>
  <si>
    <t>Gast.op.adm,médicos</t>
  </si>
  <si>
    <t>Gast.op.adm,honrevis</t>
  </si>
  <si>
    <t>Gast.op.adm.,honaud.</t>
  </si>
  <si>
    <t>Gast.op.adm,hon.ases</t>
  </si>
  <si>
    <t>Gast.op.adm,ases.téc</t>
  </si>
  <si>
    <t>Gast.op.adm,hon.otr.</t>
  </si>
  <si>
    <t>Gast.op.adm,imp.veh.</t>
  </si>
  <si>
    <t>Gast.op.adm,imptos.</t>
  </si>
  <si>
    <t>Gast.op.adm,arr.edif</t>
  </si>
  <si>
    <t>Gast.op.adm,fl.trans</t>
  </si>
  <si>
    <t>Gast.op. de administ</t>
  </si>
  <si>
    <t>Gast.,seg.transporte</t>
  </si>
  <si>
    <t>Gasto aseo</t>
  </si>
  <si>
    <t>Gast.,serv.temporal.</t>
  </si>
  <si>
    <t>Gast.,serv.asistenc.</t>
  </si>
  <si>
    <t>Gast.,acued/alcantar</t>
  </si>
  <si>
    <t>Gast.,energ.eléctr.</t>
  </si>
  <si>
    <t>Gast.,serv. teléfono</t>
  </si>
  <si>
    <t>Gast.,transp./fletes</t>
  </si>
  <si>
    <t>Gast.,serv.,gas</t>
  </si>
  <si>
    <t>Gastos,serv.,otros</t>
  </si>
  <si>
    <t>Gast.legal.,notarial</t>
  </si>
  <si>
    <t>Gast.legal,reg.merc.</t>
  </si>
  <si>
    <t>Gast.repar.maquin.</t>
  </si>
  <si>
    <t>Gast.repar.equ.ofic.</t>
  </si>
  <si>
    <t>Gast.repar,equ.trans</t>
  </si>
  <si>
    <t>Gast.viaj.,alojam.</t>
  </si>
  <si>
    <t>Gast.viaje,pasaj.aér</t>
  </si>
  <si>
    <t>Gast.,depr.,constr.</t>
  </si>
  <si>
    <t>Gast.,depr.,maquin.</t>
  </si>
  <si>
    <t>Gast.,depr.,equ.ofic</t>
  </si>
  <si>
    <t>Gast.,depr.equ.trans</t>
  </si>
  <si>
    <t>Gastos op. admin.,amort. intangibles,Licencias</t>
  </si>
  <si>
    <t>Gast.div.,libros,sub</t>
  </si>
  <si>
    <t>Gast.div.,represent.</t>
  </si>
  <si>
    <t>Gast.div.,elem.aseo</t>
  </si>
  <si>
    <t>Gast.div.,útiles</t>
  </si>
  <si>
    <t>Gast.div.,combust.</t>
  </si>
  <si>
    <t>Gast.div,casino/rest</t>
  </si>
  <si>
    <t>N.op.,fin.,gast.banc</t>
  </si>
  <si>
    <t>N.op.,fin.,comisione</t>
  </si>
  <si>
    <t>No operacionales, financieros, intereses</t>
  </si>
  <si>
    <t>N.op.,fin.,dif.en ca</t>
  </si>
  <si>
    <t>'N.op.extrao.,ejerc.</t>
  </si>
  <si>
    <t>'N.op.extrao,imptos.</t>
  </si>
  <si>
    <t>'N.op.div.,sanc./lit</t>
  </si>
  <si>
    <t>'N.op.div.,otros,red</t>
  </si>
  <si>
    <t>Costo,const.utilida</t>
  </si>
  <si>
    <t>Costo de venta, servicio transporte por carretera</t>
  </si>
  <si>
    <t>Efectivo</t>
  </si>
  <si>
    <t>Cuentas comerciales por cobrar</t>
  </si>
  <si>
    <t>Otras cuentas por cobrar</t>
  </si>
  <si>
    <t>Pasivos por impuestos corrientes</t>
  </si>
  <si>
    <t>NIIF ESF</t>
  </si>
  <si>
    <t>Inventarios</t>
  </si>
  <si>
    <t>Propiedades, planta y equipo</t>
  </si>
  <si>
    <t>Activos intangibles</t>
  </si>
  <si>
    <t>Cuenta puente</t>
  </si>
  <si>
    <t>Obligaciones financieras</t>
  </si>
  <si>
    <t>Cuentas por pagar a partes relacionadas</t>
  </si>
  <si>
    <t>Impto.renta/compleme</t>
  </si>
  <si>
    <t>Anticipos recibidos</t>
  </si>
  <si>
    <t>Cuentas comerciales por pagar y otras cuentas por pagar</t>
  </si>
  <si>
    <t>Capital suscrito y pagado</t>
  </si>
  <si>
    <t>Resultados acumulados</t>
  </si>
  <si>
    <t>Otros resultados integrales</t>
  </si>
  <si>
    <t>Adopción por primera vez</t>
  </si>
  <si>
    <t>Cierre de año</t>
  </si>
  <si>
    <t>Ingresos de actividades ordinarias</t>
  </si>
  <si>
    <t>Costos de venta de bienes y servicios</t>
  </si>
  <si>
    <t>Otros gastos operativos, neto</t>
  </si>
  <si>
    <t>Financieros, neto</t>
  </si>
  <si>
    <t>Diferencia en cambio, neta</t>
  </si>
  <si>
    <t>Gasto por impuesto sobre la renta</t>
  </si>
  <si>
    <t>Etiquetas de fila</t>
  </si>
  <si>
    <t>Total general</t>
  </si>
  <si>
    <t>ID</t>
  </si>
  <si>
    <t>INVENTARIO DE CONTRATOS DE CONSTRUCCIÓN-COSTO</t>
  </si>
  <si>
    <t>MATERIALES AUXILIARES</t>
  </si>
  <si>
    <t>SUMINISTROS DIVERSOS</t>
  </si>
  <si>
    <t>REPUESTOS</t>
  </si>
  <si>
    <t>CONSTRUCCIONES EN CURSO</t>
  </si>
  <si>
    <t>Impto. de industria y comercio retenido Municipal</t>
  </si>
  <si>
    <t>Impto. de industria y comercio, vigencia fiscal co</t>
  </si>
  <si>
    <t>Result. ejercicios anteriores, pérdidas acum-NIFF</t>
  </si>
  <si>
    <t>Ingr.op,constr,ing.c</t>
  </si>
  <si>
    <t>Ing.op,const.montaje</t>
  </si>
  <si>
    <t>Ing.op,const.adm.imp</t>
  </si>
  <si>
    <t>Ingr.op.,com.,otros</t>
  </si>
  <si>
    <t>No oper.,utilidad flota/equipo de transporte</t>
  </si>
  <si>
    <t>No operacionales, indemnizaciones por suministros</t>
  </si>
  <si>
    <t>No operacionales, incapacidades</t>
  </si>
  <si>
    <t>Gast.op.adm,pr,auxtr</t>
  </si>
  <si>
    <t>Gast.op.adm,deportiv</t>
  </si>
  <si>
    <t>Gast.op.adm,arr.maqu</t>
  </si>
  <si>
    <t>Gast.op.adm,arr.otr.</t>
  </si>
  <si>
    <t>Gast,seg.cumplimient</t>
  </si>
  <si>
    <t>Gast.,seg.responsab.</t>
  </si>
  <si>
    <t>Gast.,seguros otros</t>
  </si>
  <si>
    <t>Gast.,correo/telegr.</t>
  </si>
  <si>
    <t>Gast.viaj,pasaj.terr</t>
  </si>
  <si>
    <t>Gast.div,taxis/buses Y (PEAJES)</t>
  </si>
  <si>
    <t>Corr.imptos.IVA desc</t>
  </si>
  <si>
    <t>SERV D OBRAS CIVILES</t>
  </si>
  <si>
    <t>SERV DE FABRICACION</t>
  </si>
  <si>
    <t>C.v.,com.may/men,otr (Producto Terminado)</t>
  </si>
  <si>
    <t>CONSUMO DE MATERIAS PRIMAS</t>
  </si>
  <si>
    <t>Activos por impuestos corrientes</t>
  </si>
  <si>
    <t>Otros (ingresos) gastos operativos, netos</t>
  </si>
  <si>
    <t>Equivalente al efectivo</t>
  </si>
  <si>
    <t>Débito</t>
  </si>
  <si>
    <t>Crédito</t>
  </si>
  <si>
    <t>AJUSTES</t>
  </si>
  <si>
    <t>Diferencia</t>
  </si>
  <si>
    <t>---</t>
  </si>
  <si>
    <t>(en blanco)</t>
  </si>
  <si>
    <t>Activos por derecho de uso</t>
  </si>
  <si>
    <t>Pasivos por arrendamientos</t>
  </si>
  <si>
    <t>Gastos depreciación Activo por derecho de uso</t>
  </si>
  <si>
    <t>Total</t>
  </si>
  <si>
    <t>Corriente</t>
  </si>
  <si>
    <t>No Corriente</t>
  </si>
  <si>
    <t>OBLIGACIONES FINANCIERAS</t>
  </si>
  <si>
    <t>CUENTAS COMERCIALES Y OTRAS CUENTAS POR PAGAR</t>
  </si>
  <si>
    <t>ESTADO DE SITUACIÓN FINANCIERA</t>
  </si>
  <si>
    <t>(Cifras en miles de pesos colombianos - COP)</t>
  </si>
  <si>
    <t>ACTIVOS</t>
  </si>
  <si>
    <t>ACTIVOS CORRIENTES</t>
  </si>
  <si>
    <t>TOTAL ACTIVOS CORRIENTES</t>
  </si>
  <si>
    <t>ACTIVOS NO CORRIENTES</t>
  </si>
  <si>
    <t>TOTAL ACTIVOS NO CORRIENTES</t>
  </si>
  <si>
    <t>TOTAL DE ACTIVOS</t>
  </si>
  <si>
    <t>PASIVOS</t>
  </si>
  <si>
    <t>PASIVOS CORRIENTES</t>
  </si>
  <si>
    <r>
      <t>Obligaciones financieras</t>
    </r>
    <r>
      <rPr>
        <sz val="8"/>
        <color theme="0"/>
        <rFont val="Arial"/>
        <family val="2"/>
      </rPr>
      <t xml:space="preserve"> corrientes</t>
    </r>
  </si>
  <si>
    <r>
      <t>Cuentas por pagar a partes relacionadas</t>
    </r>
    <r>
      <rPr>
        <sz val="8"/>
        <color theme="0"/>
        <rFont val="Arial"/>
        <family val="2"/>
      </rPr>
      <t xml:space="preserve"> corrientes</t>
    </r>
  </si>
  <si>
    <t>TOTAL PASIVOS CORRIENTES</t>
  </si>
  <si>
    <t>PASIVOS NO CORRIENTES</t>
  </si>
  <si>
    <r>
      <t>Obligaciones financieras</t>
    </r>
    <r>
      <rPr>
        <sz val="8"/>
        <color theme="0"/>
        <rFont val="Arial"/>
        <family val="2"/>
      </rPr>
      <t xml:space="preserve"> no corrientes</t>
    </r>
  </si>
  <si>
    <t>Pasivo por impuestos diferidos</t>
  </si>
  <si>
    <t>TOTAL PASIVOS NO CORRIENTES</t>
  </si>
  <si>
    <t>TOTAL DE PASIVOS</t>
  </si>
  <si>
    <t>PATRIMONIO</t>
  </si>
  <si>
    <t xml:space="preserve">Anticipo recibido por acciones a emitir </t>
  </si>
  <si>
    <t>Utilidades (Pérdidas) PCGA Anteriores</t>
  </si>
  <si>
    <t>Utilidad (Pérdida) en Conversión a NIIF</t>
  </si>
  <si>
    <t>PATRIMONIO TOTAL</t>
  </si>
  <si>
    <t>TOTAL DE PASIVOS Y PATRIMONIO</t>
  </si>
  <si>
    <t>Utilidad bruta</t>
  </si>
  <si>
    <t>Gastos de administración</t>
  </si>
  <si>
    <t>Otros ingresos</t>
  </si>
  <si>
    <t>Otros gastos</t>
  </si>
  <si>
    <t>Otros ingresos / (gastos)</t>
  </si>
  <si>
    <t>Utilidad o (pérdida) operacional</t>
  </si>
  <si>
    <t>Ingresos financieros</t>
  </si>
  <si>
    <t>Costos financieros</t>
  </si>
  <si>
    <t>Ingresos / (costos) financieros</t>
  </si>
  <si>
    <t>Utilidad o (pérdida) antes de impuesto sobre la renta</t>
  </si>
  <si>
    <t>ESTADO DE CAMBIOS EN EL PATRIMONIO</t>
  </si>
  <si>
    <t>Anticipo recibido por acciones a emitir</t>
  </si>
  <si>
    <t xml:space="preserve"> - Traslado a capital</t>
  </si>
  <si>
    <t xml:space="preserve"> - Capitalización</t>
  </si>
  <si>
    <t xml:space="preserve"> - Resultados del período</t>
  </si>
  <si>
    <t>ESTADO DE FLUJO DE EFECTIVO</t>
  </si>
  <si>
    <t>Ajustes por gasto por impuestos a las ganancias</t>
  </si>
  <si>
    <t>Ajustes por costos financieros</t>
  </si>
  <si>
    <t>Ajustes por provisiones</t>
  </si>
  <si>
    <t>Ajustes por pagos basados en acciones</t>
  </si>
  <si>
    <t>Ajustes por ganancias no distribuidas de asociadas</t>
  </si>
  <si>
    <t>Otros ajustes por partidas distintas al efectivo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</si>
  <si>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</si>
  <si>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</si>
  <si>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</si>
  <si>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</si>
  <si>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</si>
  <si>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</si>
  <si>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utilizados para obtener el control de subsidiarias u otros negocios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</si>
  <si>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</si>
  <si>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</si>
  <si>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</si>
  <si>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</si>
  <si>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</si>
  <si>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</si>
  <si>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</si>
  <si>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</si>
  <si>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Recursos por ventas de otros activos a largo plazo</t>
  </si>
  <si>
    <t>Compras de otros activos a largo plazo</t>
  </si>
  <si>
    <t>Pagos por adquirir o rescatar las acciones de la entidad</t>
  </si>
  <si>
    <t>Pagos por otras participaciones en el patrimonio</t>
  </si>
  <si>
    <t>Efectivo y equivalentes al efectivo al principio del periodo</t>
  </si>
  <si>
    <t>Efectivo y equivalentes al efectivo al final del periodo</t>
  </si>
  <si>
    <t>Efectivo y equivalentes al efectivo</t>
  </si>
  <si>
    <t>Cuentas comerciales por cobrar y otras cuentas por cobrar</t>
  </si>
  <si>
    <t>Pasivos por contratos</t>
  </si>
  <si>
    <t>ESTADO DE RESULTADOS</t>
  </si>
  <si>
    <t>Flujos de efectivo procedentes de (utilizados en) actividades de operación</t>
  </si>
  <si>
    <t>Pérdida neta del año</t>
  </si>
  <si>
    <t>Ajustes para conciliar la ganancia (pérdida)</t>
  </si>
  <si>
    <t>Ajustes por gastos de depreciación y amortización</t>
  </si>
  <si>
    <t>Ajustes por deterioro de valor (reversiones de pérdidas por deterioro de valor) reconocidas en el resultado del periodo</t>
  </si>
  <si>
    <t>Ajustes por pérdidas (ganancias) de moneda extranjera no realizadas</t>
  </si>
  <si>
    <t>Ajustes por pérdidas (ganancias) del valor razonable</t>
  </si>
  <si>
    <t>Ajustes por pérdidas (ganancias) por la disposición de activos no corrientes</t>
  </si>
  <si>
    <t>Otros ajustes para los que los efectos sobre el efectivo son flujos de efectivo de inversión o financiación</t>
  </si>
  <si>
    <t>Otros ajustes para conciliar la ganancia (pérdida)</t>
  </si>
  <si>
    <t>Total ajustes para conciliar la ganancia (pérdida)</t>
  </si>
  <si>
    <t>Flujos de efectivo netos procedentes (utilizados en) operaciones</t>
  </si>
  <si>
    <t>Flujos de efectivo netos procedentes de (utilizados en) actividades de operación</t>
  </si>
  <si>
    <t>Flujos de efectivo procedentes de (utilizados en) actividades de inversión</t>
  </si>
  <si>
    <t>Flujos de efectivo procedentes de la pérdida de control de subsidiarias u otros negocios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</si>
  <si>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</si>
  <si>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</si>
  <si>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</si>
  <si>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en efectivo por contratos de futuros, contratos a término, contratos de opciones y contratos de permuta financiera</t>
  </si>
  <si>
    <t>Cobros en efectivo por contratos de futuros, contratos a término, contratos de opciones y contratos de permuta financiera</t>
  </si>
  <si>
    <t>Flujos de efectivo netos procedentes de (utilizados en) actividades de inversión</t>
  </si>
  <si>
    <t>Flujos de efectivo procedentes de (utilizados en) actividades de financiación</t>
  </si>
  <si>
    <t>Recursos por cambios en las participaciones en la propiedad en subsidiarias que no dan lugar a la pérdida de control</t>
  </si>
  <si>
    <t>Pagos por cambios en las participaciones en la propiedad en subsidiarias que no dan lugar a la pérdida de control</t>
  </si>
  <si>
    <t>Importes procedentes de la emisión de acciones</t>
  </si>
  <si>
    <t>Importes procedentes de la emisión de otros instrumentos de patrimonio</t>
  </si>
  <si>
    <t>Importes procedentes de préstamos</t>
  </si>
  <si>
    <t>Reembolsos de préstamos</t>
  </si>
  <si>
    <t>Pagos de pasivos por arrendamiento</t>
  </si>
  <si>
    <t>Flujos de efectivo netos procedentes de (utilizados en) actividades de financiación</t>
  </si>
  <si>
    <t>Incremento (disminución) neto de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</si>
  <si>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</si>
  <si>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</si>
  <si>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Conciliación</t>
  </si>
  <si>
    <t>PASIVOS POR ARRENDAMIENTOS</t>
  </si>
  <si>
    <t>Ajustes en el capital de trabajo</t>
  </si>
  <si>
    <t>Disminución (incremento) de cuentas por cobrar de origen comercial</t>
  </si>
  <si>
    <t>Disminuciones (incrementos) en otras cuentas por cobrar derivadas de las actividades de operación</t>
  </si>
  <si>
    <t>Disminuciones (incrementos) en los activos y pasivos por impuestos corrientes</t>
  </si>
  <si>
    <t>Disminuciones (incrementos) en los inventarios</t>
  </si>
  <si>
    <t>Incremento (disminución) de cuentas por pagar de origen comercial</t>
  </si>
  <si>
    <t>Incrementos (disminuciones) en cuentas por pagar a partes relacionadas</t>
  </si>
  <si>
    <t>Incrementos (disminuciones) en los pasivos por contratos</t>
  </si>
  <si>
    <t>Clasificación Gastos</t>
  </si>
  <si>
    <t>Sueldos y salarios</t>
  </si>
  <si>
    <t>Planes de aportaciones definidos</t>
  </si>
  <si>
    <t>Prestaciones sociales</t>
  </si>
  <si>
    <t>Vacaciones</t>
  </si>
  <si>
    <t>Beneficios por terminación</t>
  </si>
  <si>
    <t>Otros beneficios a empleados corto plazo</t>
  </si>
  <si>
    <t>Bonificaciones</t>
  </si>
  <si>
    <t>Gastos de viaje</t>
  </si>
  <si>
    <t>Honorarios</t>
  </si>
  <si>
    <t>Seguros</t>
  </si>
  <si>
    <t>Depreciaciones</t>
  </si>
  <si>
    <t>Servicios</t>
  </si>
  <si>
    <t>Impuestos</t>
  </si>
  <si>
    <t>Arrendamientos</t>
  </si>
  <si>
    <t>Contribuciones y afiliaciones</t>
  </si>
  <si>
    <t>Gastos legales</t>
  </si>
  <si>
    <t>Mantenimiento</t>
  </si>
  <si>
    <t>Amortizaciones</t>
  </si>
  <si>
    <t>Otros gastos administrativos</t>
  </si>
  <si>
    <t>Transporte y peajes</t>
  </si>
  <si>
    <t>Casino y restaurante</t>
  </si>
  <si>
    <t>Combustibles y lubricantes</t>
  </si>
  <si>
    <t>Saldo 31 Dic 2020</t>
  </si>
  <si>
    <t>Ctas. de ahorro, AV VILLAS</t>
  </si>
  <si>
    <t>Ctas. de ahorro, AV VILLAS 2</t>
  </si>
  <si>
    <t>Ctas. de ahorro, AV VILLAS 3</t>
  </si>
  <si>
    <t>Ctas. de ahorro, AV VILLAS 4</t>
  </si>
  <si>
    <t>Deudores varios, fondo de inversión</t>
  </si>
  <si>
    <t>Deud. varios, otros</t>
  </si>
  <si>
    <t>COMPRA DE MATERIAS PRIMAS (juego de inventarios)</t>
  </si>
  <si>
    <t>Productos en proceso</t>
  </si>
  <si>
    <t>Productos en proceso. Dif de precio</t>
  </si>
  <si>
    <t>Productos terminados, manufacturados</t>
  </si>
  <si>
    <t>Valoriz. prop., planta y equipo, terrenos</t>
  </si>
  <si>
    <t>Maqu/equ.herramienta</t>
  </si>
  <si>
    <t>Depreciación acumulada, maquinaria y equipo</t>
  </si>
  <si>
    <t>Depreciación acumulada, herramientas</t>
  </si>
  <si>
    <t>Dr., otros</t>
  </si>
  <si>
    <t>Intangible en curso</t>
  </si>
  <si>
    <t>Depreciación y/o amortización acumulada, derechos</t>
  </si>
  <si>
    <t>Obl.fin., otras obligaciones, otras</t>
  </si>
  <si>
    <t>Deudas con accionist</t>
  </si>
  <si>
    <t>Embargos judiciales</t>
  </si>
  <si>
    <t>Fondos</t>
  </si>
  <si>
    <t>Pasiv.est,otr. gast/</t>
  </si>
  <si>
    <t>Diferidos, Imptos., diversos</t>
  </si>
  <si>
    <t>Res.ejerc,pérdidas a</t>
  </si>
  <si>
    <t>Superávit por valoriz.,de propiedad., planta y equ</t>
  </si>
  <si>
    <t>Gast.op.adm,pt,bonif</t>
  </si>
  <si>
    <t>Gast.op.adm,IVA desc</t>
  </si>
  <si>
    <t>Gastos,seg. incendio</t>
  </si>
  <si>
    <t>Gastos op. admin.,amort. intangibles,Derechos</t>
  </si>
  <si>
    <t>Patrocinio auspicio</t>
  </si>
  <si>
    <t>No op.Intereses arrendamientos</t>
  </si>
  <si>
    <t>'N.op.div.,donacione</t>
  </si>
  <si>
    <t>Pruebas y análisis de material</t>
  </si>
  <si>
    <t>Variación de productos terminados producción</t>
  </si>
  <si>
    <t>Variación de productos en proceso producción</t>
  </si>
  <si>
    <t>Variación de productos en proc. Consumo a producci</t>
  </si>
  <si>
    <t>Suma de Saldo 31 Dic 2020</t>
  </si>
  <si>
    <t>AL 31 DE DICIEMBRE DE 2020</t>
  </si>
  <si>
    <t>31 DE DICIEMBRE DE 2020</t>
  </si>
  <si>
    <t>POR EL PERIODO TERMINADO EL 31 DE DICIEMBRE DE 2020</t>
  </si>
  <si>
    <t>Saldo al 31 de diciembre de 2020</t>
  </si>
  <si>
    <t>Utilidad neta del año</t>
  </si>
  <si>
    <t>EJEMPLO CORP</t>
  </si>
  <si>
    <t>Movimiento 2021</t>
  </si>
  <si>
    <t>Saldo 31 Dic 2021</t>
  </si>
  <si>
    <t>Suma de Saldo 31 Dic 2021</t>
  </si>
  <si>
    <t>31 DE DICIEMBRE DE 2021</t>
  </si>
  <si>
    <t>Saldo al 31 de diciembre de 2021</t>
  </si>
  <si>
    <t>AL 31 DE DICIEMBRE DE 2021</t>
  </si>
  <si>
    <t>POR EL PERIODO TERMINADO EL 31 DE DICIEMBRE DE 2021</t>
  </si>
  <si>
    <t>Utilidad</t>
  </si>
  <si>
    <t>DB - ESF - Efectivo</t>
  </si>
  <si>
    <t>Patrimonio</t>
  </si>
  <si>
    <t>Ingresos</t>
  </si>
  <si>
    <t>Gastos</t>
  </si>
  <si>
    <t>CR - ESF - Cuentas por pagar</t>
  </si>
  <si>
    <t>BALANCES DE PRUEBA - 31 de Diciembre 2020, 2021 y 2022</t>
  </si>
  <si>
    <t>Movimiento 2022</t>
  </si>
  <si>
    <t>Saldo 31 Dic 2022</t>
  </si>
  <si>
    <t>Suma de Saldo 31 Dic 2022</t>
  </si>
  <si>
    <t>31 DE DICIEMBRE DE 2022</t>
  </si>
  <si>
    <t>1 DE ENERO DE 2020</t>
  </si>
  <si>
    <t>Saldo al 31 de diciembre de 2022</t>
  </si>
  <si>
    <t>Empresa ABC =&gt;</t>
  </si>
  <si>
    <t>Inversiones en instrumentos de patrimonio = Adquiere acciones de otra entidad.</t>
  </si>
  <si>
    <t>% Participación patrimonial</t>
  </si>
  <si>
    <t>+ 50%</t>
  </si>
  <si>
    <t>Control</t>
  </si>
  <si>
    <t>ABC =</t>
  </si>
  <si>
    <t>Controladora</t>
  </si>
  <si>
    <t>XYZ 1 =</t>
  </si>
  <si>
    <t>Subsidiaria</t>
  </si>
  <si>
    <t>Sección 9</t>
  </si>
  <si>
    <t>EF Consolidados y separados</t>
  </si>
  <si>
    <t>Estados financieros consolidados</t>
  </si>
  <si>
    <t>ABC + XYZ1</t>
  </si>
  <si>
    <t>1. Combinación</t>
  </si>
  <si>
    <t>a. Corte de información</t>
  </si>
  <si>
    <t>b. Moneda funcional (Sección 30)</t>
  </si>
  <si>
    <t>2. Transacciones recíprocas</t>
  </si>
  <si>
    <t>"Eliminarlas"</t>
  </si>
  <si>
    <t>a. Inversión controladora con el</t>
  </si>
  <si>
    <t>patrimonio de la subsidiaria</t>
  </si>
  <si>
    <t>ABC</t>
  </si>
  <si>
    <t>DB - ESF -  Inversiones en subsidiarias</t>
  </si>
  <si>
    <t>CR - ESF - Efectivo</t>
  </si>
  <si>
    <t>XYZ</t>
  </si>
  <si>
    <t>CR - ESF - Patrimonio (Capital Social)</t>
  </si>
  <si>
    <t>XYZ "Individuales" (no tiene inversiones en otra empresa)</t>
  </si>
  <si>
    <t>ABC "Separados" (EF Controladora)</t>
  </si>
  <si>
    <t>ABC "Consolidado" (EF Controladora + Subsidiaria)</t>
  </si>
  <si>
    <t>c. Políticas uniformes (Marco técnico)</t>
  </si>
  <si>
    <t>ESF -  Inversiones en subsidiarias</t>
  </si>
  <si>
    <t>ESF - Efectivo</t>
  </si>
  <si>
    <t>ESF - Patrimonio (Capital Social)</t>
  </si>
  <si>
    <t>Combinación</t>
  </si>
  <si>
    <t>Eliminación</t>
  </si>
  <si>
    <t>Consolidado</t>
  </si>
  <si>
    <t>ESF - Cuentas por cobrar</t>
  </si>
  <si>
    <t>ESF -  Cuentas por pagar</t>
  </si>
  <si>
    <t>Activos</t>
  </si>
  <si>
    <t>Pasivos</t>
  </si>
  <si>
    <t>b. CXC - CXP / Ingresos - Gastos</t>
  </si>
  <si>
    <t>DB - ESF - Cuentas por cobrar</t>
  </si>
  <si>
    <t>La inversión al año siguiente se debe medir al:</t>
  </si>
  <si>
    <t>a. Costo menos deterioro</t>
  </si>
  <si>
    <t>b. Método de participación</t>
  </si>
  <si>
    <t>c. Valor razonable</t>
  </si>
  <si>
    <t>Inversiones en subsidiarias</t>
  </si>
  <si>
    <t>Estados financieros separados</t>
  </si>
  <si>
    <t>Utilidad XYZ</t>
  </si>
  <si>
    <t>CR - ER - Ganancia por MP en subsid</t>
  </si>
  <si>
    <t>Influencia</t>
  </si>
  <si>
    <t>Significativa</t>
  </si>
  <si>
    <t>Inversor</t>
  </si>
  <si>
    <t>XYZ 2 =</t>
  </si>
  <si>
    <t>Asociada</t>
  </si>
  <si>
    <t>Sección 14</t>
  </si>
  <si>
    <t>Inversiones en asociadas</t>
  </si>
  <si>
    <t>Medición:</t>
  </si>
  <si>
    <t>Estado financiero "principal"</t>
  </si>
  <si>
    <t>Estado financiero "individual"</t>
  </si>
  <si>
    <t>50% / 50%</t>
  </si>
  <si>
    <t>Control conjunto (*)</t>
  </si>
  <si>
    <t>(*) Control conjunto</t>
  </si>
  <si>
    <t>Participantes</t>
  </si>
  <si>
    <t>JKL</t>
  </si>
  <si>
    <t>Recursos</t>
  </si>
  <si>
    <t>Sección 15</t>
  </si>
  <si>
    <t>Inversiones en negocios conjuntos</t>
  </si>
  <si>
    <t>Acuerdo conjunto</t>
  </si>
  <si>
    <t>Contrato en donde</t>
  </si>
  <si>
    <t>se establece el control</t>
  </si>
  <si>
    <t>conjunto</t>
  </si>
  <si>
    <t>Clasificación:</t>
  </si>
  <si>
    <t>Operación controlada de forma conjunta</t>
  </si>
  <si>
    <t>Entidad contralada de forma conjunta</t>
  </si>
  <si>
    <t>Integración de EF (de acuerdo al % de participación)</t>
  </si>
  <si>
    <t>Tratamiento contable:</t>
  </si>
  <si>
    <t>Inversiones en negocio conjunto</t>
  </si>
  <si>
    <t>-20%</t>
  </si>
  <si>
    <t>Inversión "normal"</t>
  </si>
  <si>
    <t>Sección 11</t>
  </si>
  <si>
    <t>Instrumentos financieros básicos</t>
  </si>
  <si>
    <r>
      <t xml:space="preserve">Valor razonable con cambios en el </t>
    </r>
    <r>
      <rPr>
        <sz val="12"/>
        <color rgb="FFFF0000"/>
        <rFont val="Calibri (Cuerpo)_x0000_"/>
      </rPr>
      <t>resultado</t>
    </r>
  </si>
  <si>
    <t>=&gt; Costo menos deterioro (costo o esfuerzo desproporcionado)</t>
  </si>
  <si>
    <t>Estados financieros "combinados"</t>
  </si>
  <si>
    <t>Subsidiaria 1</t>
  </si>
  <si>
    <t>Subsidiaria 2</t>
  </si>
  <si>
    <t>+</t>
  </si>
  <si>
    <t>Colombia</t>
  </si>
  <si>
    <t>Perú</t>
  </si>
  <si>
    <t>SS = Quien combina con la otra entidad es la que tiene el mayor patrimonio</t>
  </si>
  <si>
    <t>RE-EXPRESIÓN DE ESTADOS FINANCIEROS</t>
  </si>
  <si>
    <t>Presentó EF al 31 de diciembre de 2021</t>
  </si>
  <si>
    <t>31_DIC_2020</t>
  </si>
  <si>
    <t>31_DIC_2021</t>
  </si>
  <si>
    <t>- Capital</t>
  </si>
  <si>
    <t>- Utilidad ac</t>
  </si>
  <si>
    <t>Durante el año 2022</t>
  </si>
  <si>
    <t>Se registró una provisión en 2021 que no correspondía a lo requerido bajo NIIF</t>
  </si>
  <si>
    <t>Error contable</t>
  </si>
  <si>
    <t>Sección 10</t>
  </si>
  <si>
    <t>31_DIC_2022</t>
  </si>
  <si>
    <t>CR - ESF - Provisión</t>
  </si>
  <si>
    <t>DB - ESF - Gasto</t>
  </si>
  <si>
    <t>Re-expresados</t>
  </si>
  <si>
    <t>Conciliación (explicar)</t>
  </si>
  <si>
    <t>Efecto de la re-expresión</t>
  </si>
  <si>
    <t>Corrección del error se aplica en 2022 (Contablemente)</t>
  </si>
  <si>
    <t>DB - ESF - Provisión</t>
  </si>
  <si>
    <t>CR - ESF - Patrimonio</t>
  </si>
  <si>
    <t>"Utilidades acumuladas"</t>
  </si>
  <si>
    <t>=&gt; Corrección de errores de ejercicios anteriores</t>
  </si>
  <si>
    <t>AL 31 DE DICIEMBRE DE 2022</t>
  </si>
  <si>
    <t>POR EL PERIODO TERMINADO EL 31 DE DICIEMBRE DE 2022</t>
  </si>
  <si>
    <t>Ganancia (pérdida) por aplicación del método de participación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</si>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</sst>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_(* #,##0.00_);_(* \(#,##0.00\);_(* &quot;-&quot;??_);_(@_)"/>
    <numFmt numFmtId="167" formatCode="_ * #,##0.00_ ;_ * \-#,##0.00_ ;_ * &quot;-&quot;??_ ;_ @_ "/>
    <numFmt numFmtId="168" formatCode="#,##0.00000;[Red]\(#,##0.00000\)"/>
  </numFmts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Cuerpo)_x0000_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</cellStyleXfs>
  <cellXfs count="8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64" fontId="2" fillId="0" borderId="0" xfId="0" applyNumberFormat="1" applyFon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164" fontId="1" fillId="5" borderId="3" xfId="0" applyNumberFormat="1" applyFont="1" applyFill="1" applyBorder="1"/>
    <xf numFmtId="164" fontId="1" fillId="5" borderId="2" xfId="0" applyNumberFormat="1" applyFont="1" applyFill="1" applyBorder="1" applyAlignment="1">
      <alignment horizontal="center"/>
    </xf>
    <xf numFmtId="165" fontId="0" fillId="0" borderId="0" xfId="0" applyNumberFormat="1"/>
    <xf numFmtId="164" fontId="2" fillId="7" borderId="1" xfId="0" applyNumberFormat="1" applyFont="1" applyFill="1" applyBorder="1" applyAlignment="1">
      <alignment horizontal="center"/>
    </xf>
    <xf numFmtId="164" fontId="0" fillId="7" borderId="1" xfId="0" applyNumberFormat="1" applyFill="1" applyBorder="1"/>
    <xf numFmtId="164" fontId="1" fillId="0" borderId="0" xfId="0" quotePrefix="1" applyNumberFormat="1" applyFont="1" applyAlignment="1">
      <alignment horizontal="center"/>
    </xf>
    <xf numFmtId="165" fontId="0" fillId="6" borderId="1" xfId="0" applyNumberFormat="1" applyFill="1" applyBorder="1"/>
    <xf numFmtId="165" fontId="2" fillId="6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6" borderId="0" xfId="7" applyFont="1" applyFill="1"/>
    <xf numFmtId="0" fontId="10" fillId="6" borderId="0" xfId="7" applyFont="1" applyFill="1"/>
    <xf numFmtId="164" fontId="10" fillId="6" borderId="0" xfId="7" applyNumberFormat="1" applyFont="1" applyFill="1"/>
    <xf numFmtId="0" fontId="11" fillId="6" borderId="0" xfId="7" applyFont="1" applyFill="1"/>
    <xf numFmtId="164" fontId="11" fillId="6" borderId="17" xfId="7" applyNumberFormat="1" applyFont="1" applyFill="1" applyBorder="1"/>
    <xf numFmtId="164" fontId="11" fillId="6" borderId="18" xfId="7" applyNumberFormat="1" applyFont="1" applyFill="1" applyBorder="1"/>
    <xf numFmtId="0" fontId="13" fillId="6" borderId="0" xfId="7" applyFont="1" applyFill="1"/>
    <xf numFmtId="164" fontId="13" fillId="6" borderId="0" xfId="7" applyNumberFormat="1" applyFont="1" applyFill="1"/>
    <xf numFmtId="0" fontId="11" fillId="6" borderId="0" xfId="7" applyFont="1" applyFill="1" applyAlignment="1">
      <alignment horizontal="center" wrapText="1"/>
    </xf>
    <xf numFmtId="164" fontId="11" fillId="6" borderId="0" xfId="7" applyNumberFormat="1" applyFont="1" applyFill="1" applyAlignment="1">
      <alignment horizontal="center" wrapText="1"/>
    </xf>
    <xf numFmtId="164" fontId="11" fillId="6" borderId="0" xfId="7" applyNumberFormat="1" applyFont="1" applyFill="1"/>
    <xf numFmtId="0" fontId="10" fillId="6" borderId="0" xfId="7" quotePrefix="1" applyFont="1" applyFill="1"/>
    <xf numFmtId="0" fontId="0" fillId="6" borderId="0" xfId="0" applyFill="1"/>
    <xf numFmtId="168" fontId="10" fillId="6" borderId="0" xfId="7" applyNumberFormat="1" applyFont="1" applyFill="1"/>
    <xf numFmtId="3" fontId="10" fillId="6" borderId="0" xfId="7" applyNumberFormat="1" applyFont="1" applyFill="1"/>
    <xf numFmtId="164" fontId="14" fillId="0" borderId="0" xfId="0" applyNumberFormat="1" applyFont="1"/>
    <xf numFmtId="164" fontId="0" fillId="0" borderId="0" xfId="0" quotePrefix="1" applyNumberFormat="1"/>
    <xf numFmtId="164" fontId="16" fillId="0" borderId="1" xfId="0" applyNumberFormat="1" applyFont="1" applyBorder="1"/>
    <xf numFmtId="164" fontId="16" fillId="0" borderId="0" xfId="0" applyNumberFormat="1" applyFont="1"/>
    <xf numFmtId="164" fontId="17" fillId="0" borderId="1" xfId="0" applyNumberFormat="1" applyFont="1" applyBorder="1" applyAlignment="1">
      <alignment horizontal="center"/>
    </xf>
    <xf numFmtId="164" fontId="8" fillId="4" borderId="1" xfId="0" applyNumberFormat="1" applyFont="1" applyFill="1" applyBorder="1"/>
    <xf numFmtId="0" fontId="16" fillId="0" borderId="1" xfId="0" applyFont="1" applyBorder="1"/>
    <xf numFmtId="164" fontId="15" fillId="0" borderId="0" xfId="0" quotePrefix="1" applyNumberFormat="1" applyFont="1" applyAlignment="1">
      <alignment horizontal="center"/>
    </xf>
    <xf numFmtId="164" fontId="0" fillId="3" borderId="0" xfId="0" applyNumberFormat="1" applyFill="1"/>
    <xf numFmtId="164" fontId="0" fillId="0" borderId="15" xfId="0" applyNumberFormat="1" applyBorder="1"/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14" xfId="0" applyNumberFormat="1" applyBorder="1"/>
    <xf numFmtId="164" fontId="18" fillId="0" borderId="0" xfId="0" applyNumberFormat="1" applyFont="1"/>
    <xf numFmtId="9" fontId="0" fillId="0" borderId="0" xfId="6" applyFont="1"/>
    <xf numFmtId="9" fontId="0" fillId="0" borderId="8" xfId="6" applyFont="1" applyBorder="1" applyAlignment="1">
      <alignment horizontal="center"/>
    </xf>
    <xf numFmtId="9" fontId="0" fillId="0" borderId="11" xfId="6" applyFont="1" applyBorder="1" applyAlignment="1">
      <alignment horizontal="center"/>
    </xf>
    <xf numFmtId="9" fontId="0" fillId="0" borderId="14" xfId="6" quotePrefix="1" applyFont="1" applyBorder="1" applyAlignment="1">
      <alignment horizontal="center"/>
    </xf>
    <xf numFmtId="9" fontId="0" fillId="0" borderId="11" xfId="6" applyFont="1" applyBorder="1"/>
    <xf numFmtId="9" fontId="0" fillId="0" borderId="14" xfId="6" applyFont="1" applyBorder="1"/>
    <xf numFmtId="9" fontId="0" fillId="0" borderId="14" xfId="6" applyFont="1" applyBorder="1" applyAlignment="1">
      <alignment horizontal="center"/>
    </xf>
    <xf numFmtId="9" fontId="0" fillId="0" borderId="11" xfId="6" quotePrefix="1" applyFont="1" applyBorder="1" applyAlignment="1">
      <alignment horizontal="center"/>
    </xf>
    <xf numFmtId="9" fontId="14" fillId="0" borderId="0" xfId="6" applyFont="1"/>
    <xf numFmtId="164" fontId="0" fillId="0" borderId="7" xfId="0" applyNumberFormat="1" applyBorder="1"/>
    <xf numFmtId="9" fontId="0" fillId="0" borderId="8" xfId="6" applyFon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9" fontId="0" fillId="0" borderId="0" xfId="6" applyFont="1" applyAlignment="1">
      <alignment horizontal="center"/>
    </xf>
    <xf numFmtId="9" fontId="1" fillId="0" borderId="7" xfId="6" applyFont="1" applyBorder="1" applyAlignment="1">
      <alignment horizontal="center"/>
    </xf>
    <xf numFmtId="164" fontId="1" fillId="0" borderId="16" xfId="0" applyNumberFormat="1" applyFont="1" applyBorder="1"/>
    <xf numFmtId="9" fontId="1" fillId="0" borderId="8" xfId="6" applyFont="1" applyBorder="1" applyAlignment="1">
      <alignment horizontal="center"/>
    </xf>
    <xf numFmtId="9" fontId="0" fillId="0" borderId="10" xfId="6" applyFont="1" applyBorder="1"/>
    <xf numFmtId="9" fontId="1" fillId="0" borderId="10" xfId="6" applyFont="1" applyBorder="1" applyAlignment="1">
      <alignment horizontal="center"/>
    </xf>
    <xf numFmtId="9" fontId="1" fillId="0" borderId="11" xfId="6" applyFont="1" applyBorder="1" applyAlignment="1">
      <alignment horizontal="center"/>
    </xf>
    <xf numFmtId="164" fontId="16" fillId="0" borderId="6" xfId="0" applyNumberFormat="1" applyFont="1" applyBorder="1"/>
    <xf numFmtId="164" fontId="16" fillId="0" borderId="9" xfId="0" applyNumberFormat="1" applyFont="1" applyBorder="1"/>
    <xf numFmtId="164" fontId="16" fillId="0" borderId="12" xfId="0" applyNumberFormat="1" applyFont="1" applyBorder="1"/>
    <xf numFmtId="164" fontId="0" fillId="0" borderId="15" xfId="0" applyNumberFormat="1" applyBorder="1" applyAlignment="1">
      <alignment horizontal="center"/>
    </xf>
    <xf numFmtId="165" fontId="1" fillId="6" borderId="4" xfId="0" applyNumberFormat="1" applyFont="1" applyFill="1" applyBorder="1" applyAlignment="1">
      <alignment horizontal="center"/>
    </xf>
    <xf numFmtId="165" fontId="1" fillId="6" borderId="5" xfId="0" applyNumberFormat="1" applyFont="1" applyFill="1" applyBorder="1" applyAlignment="1">
      <alignment horizontal="center"/>
    </xf>
  </cellXfs>
  <cellStyles count="8">
    <cellStyle name="Millares 2" xfId="2" xr:uid="{99B87A66-26B3-CF47-8ECE-667400253C1B}"/>
    <cellStyle name="Millares 3" xfId="5" xr:uid="{F3464271-5451-9844-85BC-5E95FF7D98B5}"/>
    <cellStyle name="Normal" xfId="0" builtinId="0"/>
    <cellStyle name="Normal 2" xfId="1" xr:uid="{A0D8E00E-92E8-5F40-83CB-B1D6E847B4D7}"/>
    <cellStyle name="Normal 2 2" xfId="4" xr:uid="{A3EC6AE6-8856-3E4F-9DC7-62D6D2A86C68}"/>
    <cellStyle name="Normal 2 2 2" xfId="7" xr:uid="{D1EBE5E1-A2CE-0C44-9513-BAE20F9F4EDD}"/>
    <cellStyle name="Porcentaje" xfId="6" builtinId="5"/>
    <cellStyle name="Porcentaje 2" xfId="3" xr:uid="{60E6AE6D-00AC-8F4E-9DA2-FBE04F2F291D}"/>
  </cellStyles>
  <dxfs count="25"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  <dxf>
      <numFmt numFmtId="164" formatCode="#,##0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Apple%20220415/Dropbox/planillas%202014/Maestro/MAESTRO%20PLANILLAS/Planillas%20PYMES/1.%20Efectivo%20y%20Equivalentes%20de%20efec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de Microsoft Office" refreshedDate="44910.713309259256" createdVersion="6" refreshedVersion="6" minRefreshableVersion="3" recordCount="190" xr:uid="{E29DACCD-7D9B-3644-A9E2-001CDB35B0F1}">
  <cacheSource type="worksheet">
    <worksheetSource ref="A4:M194" sheet="HW PYMES"/>
  </cacheSource>
  <cacheFields count="13">
    <cacheField name="Cta.mayor" numFmtId="0">
      <sharedItems containsSemiMixedTypes="0" containsString="0" containsNumber="1" containsInteger="1" minValue="11051000" maxValue="80000000"/>
    </cacheField>
    <cacheField name="Texto breve" numFmtId="0">
      <sharedItems/>
    </cacheField>
    <cacheField name="ID" numFmtId="0">
      <sharedItems containsString="0" containsBlank="1" containsNumber="1" containsInteger="1" minValue="10" maxValue="55" count="27">
        <n v="10"/>
        <n v="11"/>
        <n v="12"/>
        <n v="13"/>
        <n v="14"/>
        <n v="15"/>
        <n v="16"/>
        <n v="17"/>
        <n v="21"/>
        <n v="23"/>
        <n v="22"/>
        <n v="24"/>
        <n v="29"/>
        <n v="28"/>
        <n v="31"/>
        <n v="32"/>
        <n v="37"/>
        <n v="38"/>
        <n v="39"/>
        <n v="41"/>
        <n v="53"/>
        <n v="54"/>
        <n v="52"/>
        <n v="51"/>
        <n v="55"/>
        <n v="42"/>
        <m/>
      </sharedItems>
    </cacheField>
    <cacheField name="NIIF ESF" numFmtId="0">
      <sharedItems count="28">
        <s v="Efectivo"/>
        <s v="Cuentas comerciales por cobrar"/>
        <s v="Otras cuentas por cobrar"/>
        <s v="Activos por impuestos corrientes"/>
        <s v="Equivalente al efectivo"/>
        <s v="Inventarios"/>
        <s v="Propiedades, planta y equipo"/>
        <s v="Activos por derecho de uso"/>
        <s v="Activos intangibles"/>
        <s v="Obligaciones financieras"/>
        <s v="Pasivos por arrendamientos"/>
        <s v="Cuentas por pagar a partes relacionadas"/>
        <s v="Cuentas comerciales por pagar y otras cuentas por pagar"/>
        <s v="Pasivos por impuestos corrientes"/>
        <s v="Pasivos por impuestos diferidos"/>
        <s v="Anticipos recibidos"/>
        <s v="Capital suscrito y pagado"/>
        <s v="Resultados acumulados"/>
        <s v="Adopción por primera vez"/>
        <s v="Otros resultados integrales"/>
        <s v="Ingresos de actividades ordinarias"/>
        <s v="Financieros, neto"/>
        <s v="Diferencia en cambio, neta"/>
        <s v="Otros (ingresos) gastos operativos, netos"/>
        <s v="Otros gastos operativos, neto"/>
        <s v="Gasto por impuesto sobre la renta"/>
        <s v="Costos de venta de bienes y servicios"/>
        <s v="Cuenta puente"/>
      </sharedItems>
    </cacheField>
    <cacheField name="Saldo 31 Dic 2020" numFmtId="164">
      <sharedItems containsSemiMixedTypes="0" containsString="0" containsNumber="1" minValue="-27116624669" maxValue="14230795912.620001"/>
    </cacheField>
    <cacheField name="Movimiento 2021" numFmtId="164">
      <sharedItems containsSemiMixedTypes="0" containsString="0" containsNumber="1" minValue="-8370807078.5900002" maxValue="8422473409.9700003"/>
    </cacheField>
    <cacheField name="Débito" numFmtId="165">
      <sharedItems containsNonDate="0" containsString="0" containsBlank="1"/>
    </cacheField>
    <cacheField name="Crédito" numFmtId="165">
      <sharedItems containsNonDate="0" containsString="0" containsBlank="1"/>
    </cacheField>
    <cacheField name="Saldo 31 Dic 2021" numFmtId="164">
      <sharedItems containsSemiMixedTypes="0" containsString="0" containsNumber="1" minValue="-32481759055.260002" maxValue="16644355168.470001"/>
    </cacheField>
    <cacheField name="Movimiento 2022" numFmtId="164">
      <sharedItems containsSemiMixedTypes="0" containsString="0" containsNumber="1" minValue="-9252121752.6399994" maxValue="7343203636.6800003"/>
    </cacheField>
    <cacheField name="Débito2" numFmtId="165">
      <sharedItems containsNonDate="0" containsString="0" containsBlank="1"/>
    </cacheField>
    <cacheField name="Crédito2" numFmtId="165">
      <sharedItems containsNonDate="0" containsString="0" containsBlank="1"/>
    </cacheField>
    <cacheField name="Saldo 31 Dic 2022" numFmtId="164">
      <sharedItems containsSemiMixedTypes="0" containsString="0" containsNumber="1" minValue="-32481759055.260002" maxValue="16160989071.61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n v="11051000"/>
    <s v="Caja menores"/>
    <x v="0"/>
    <x v="0"/>
    <n v="7131366"/>
    <n v="2365544.44"/>
    <m/>
    <m/>
    <n v="9496910.4399999995"/>
    <n v="-8866931.2599999998"/>
    <m/>
    <m/>
    <n v="629979.1799999997"/>
  </r>
  <r>
    <n v="11100502"/>
    <s v="BANCO BILBAO VIZ. ARGENTARIA- BBVA (COP)"/>
    <x v="0"/>
    <x v="0"/>
    <n v="430445855"/>
    <n v="-364223788.19999999"/>
    <m/>
    <m/>
    <n v="66222066.800000012"/>
    <n v="697533707.79999995"/>
    <m/>
    <m/>
    <n v="763755774.5999999"/>
  </r>
  <r>
    <n v="11200500"/>
    <s v="Cta.ahorro, bancos"/>
    <x v="0"/>
    <x v="0"/>
    <n v="0"/>
    <n v="0"/>
    <m/>
    <m/>
    <n v="0"/>
    <n v="1398097.11"/>
    <m/>
    <m/>
    <n v="1398097.11"/>
  </r>
  <r>
    <n v="11200501"/>
    <s v="Ctas. de ahorro, AV VILLAS"/>
    <x v="0"/>
    <x v="0"/>
    <n v="0"/>
    <n v="0"/>
    <m/>
    <m/>
    <n v="0"/>
    <n v="4357.74"/>
    <m/>
    <m/>
    <n v="4357.74"/>
  </r>
  <r>
    <n v="11200502"/>
    <s v="Ctas. de ahorro, AV VILLAS 2"/>
    <x v="0"/>
    <x v="0"/>
    <n v="0"/>
    <n v="0"/>
    <m/>
    <m/>
    <n v="0"/>
    <n v="474695.38"/>
    <m/>
    <m/>
    <n v="474695.38"/>
  </r>
  <r>
    <n v="11200503"/>
    <s v="Ctas. de ahorro, AV VILLAS 3"/>
    <x v="0"/>
    <x v="0"/>
    <n v="0"/>
    <n v="0"/>
    <m/>
    <m/>
    <n v="0"/>
    <n v="2197898.94"/>
    <m/>
    <m/>
    <n v="2197898.94"/>
  </r>
  <r>
    <n v="11200504"/>
    <s v="Ctas. de ahorro, AV VILLAS 4"/>
    <x v="0"/>
    <x v="0"/>
    <n v="0"/>
    <n v="0"/>
    <m/>
    <m/>
    <n v="0"/>
    <n v="1983409.29"/>
    <m/>
    <m/>
    <n v="1983409.29"/>
  </r>
  <r>
    <n v="13050500"/>
    <s v="Deud.,client. nacion"/>
    <x v="1"/>
    <x v="1"/>
    <n v="949204100.69000006"/>
    <n v="1016678786.3200001"/>
    <m/>
    <m/>
    <n v="1965882887.0100002"/>
    <n v="-176524405.71000001"/>
    <m/>
    <m/>
    <n v="1789358481.3000002"/>
  </r>
  <r>
    <n v="13300500"/>
    <s v="Antic./avan. a prov."/>
    <x v="2"/>
    <x v="2"/>
    <n v="0"/>
    <n v="0"/>
    <m/>
    <m/>
    <n v="0"/>
    <n v="29798151"/>
    <m/>
    <m/>
    <n v="29798151"/>
  </r>
  <r>
    <n v="13301500"/>
    <s v="Antic./avan. a trab."/>
    <x v="2"/>
    <x v="2"/>
    <n v="20136142"/>
    <n v="-20136142"/>
    <m/>
    <m/>
    <n v="0"/>
    <n v="1226278"/>
    <m/>
    <m/>
    <n v="1226278"/>
  </r>
  <r>
    <n v="13550501"/>
    <s v="Antic.impto.renta"/>
    <x v="3"/>
    <x v="3"/>
    <n v="121343848"/>
    <n v="241492327.72999999"/>
    <m/>
    <m/>
    <n v="362836175.73000002"/>
    <n v="-67313354.930000007"/>
    <m/>
    <m/>
    <n v="295522820.80000001"/>
  </r>
  <r>
    <n v="13551800"/>
    <s v="Impto. de industria y comercio retenido"/>
    <x v="2"/>
    <x v="2"/>
    <n v="0"/>
    <n v="0"/>
    <m/>
    <m/>
    <n v="0"/>
    <n v="0"/>
    <m/>
    <m/>
    <n v="0"/>
  </r>
  <r>
    <n v="13552000"/>
    <s v="Sobr.liquid.priv.d.i"/>
    <x v="2"/>
    <x v="2"/>
    <n v="437579000"/>
    <n v="-55215000"/>
    <m/>
    <m/>
    <n v="382364000"/>
    <n v="-16549000"/>
    <m/>
    <m/>
    <n v="365815000"/>
  </r>
  <r>
    <n v="13801500"/>
    <s v="Deudores varios, fondo de inversión"/>
    <x v="0"/>
    <x v="4"/>
    <n v="0"/>
    <n v="1031998369.75"/>
    <m/>
    <m/>
    <n v="1031998369.75"/>
    <n v="-979820396.54999995"/>
    <m/>
    <m/>
    <n v="52177973.200000048"/>
  </r>
  <r>
    <n v="13809500"/>
    <s v="Deud. varios, otros"/>
    <x v="2"/>
    <x v="2"/>
    <n v="0"/>
    <n v="0"/>
    <m/>
    <m/>
    <n v="0"/>
    <n v="28853863.989999998"/>
    <m/>
    <m/>
    <n v="28853863.989999998"/>
  </r>
  <r>
    <n v="14000000"/>
    <s v="COMPRA DE MATERIAS PRIMAS (juego de inventarios)"/>
    <x v="4"/>
    <x v="5"/>
    <n v="0"/>
    <n v="0"/>
    <m/>
    <m/>
    <n v="0"/>
    <n v="-2881091.5"/>
    <m/>
    <m/>
    <n v="-2881091.5"/>
  </r>
  <r>
    <n v="14100100"/>
    <s v="Productos en proceso"/>
    <x v="4"/>
    <x v="5"/>
    <n v="0"/>
    <n v="0"/>
    <m/>
    <m/>
    <n v="0"/>
    <n v="23984.32"/>
    <m/>
    <m/>
    <n v="23984.32"/>
  </r>
  <r>
    <n v="14100101"/>
    <s v="Productos en proceso. Dif de precio"/>
    <x v="4"/>
    <x v="5"/>
    <n v="0"/>
    <n v="0"/>
    <m/>
    <m/>
    <n v="0"/>
    <n v="0"/>
    <m/>
    <m/>
    <n v="0"/>
  </r>
  <r>
    <n v="14200001"/>
    <s v="INVENTARIO DE CONTRATOS DE CONSTRUCCIÓN-COSTO"/>
    <x v="4"/>
    <x v="5"/>
    <n v="1264733852"/>
    <n v="-714357734"/>
    <m/>
    <m/>
    <n v="550376118"/>
    <n v="2035305368.7"/>
    <m/>
    <m/>
    <n v="2585681486.6999998"/>
  </r>
  <r>
    <n v="14200002"/>
    <s v="MATERIAS PRIMAS"/>
    <x v="4"/>
    <x v="5"/>
    <n v="97583258"/>
    <n v="98618576.579999998"/>
    <m/>
    <m/>
    <n v="196201834.57999998"/>
    <n v="-75039338.829999998"/>
    <m/>
    <m/>
    <n v="121162495.74999999"/>
  </r>
  <r>
    <n v="14200003"/>
    <s v="MATERIALES AUXILIARES"/>
    <x v="4"/>
    <x v="5"/>
    <n v="0"/>
    <n v="70450856.549999997"/>
    <m/>
    <m/>
    <n v="70450856.549999997"/>
    <n v="57225560.200000003"/>
    <m/>
    <m/>
    <n v="127676416.75"/>
  </r>
  <r>
    <n v="14200004"/>
    <s v="SUMINISTROS DIVERSOS"/>
    <x v="4"/>
    <x v="5"/>
    <n v="0"/>
    <n v="0"/>
    <m/>
    <m/>
    <n v="0"/>
    <n v="41882498.609999999"/>
    <m/>
    <m/>
    <n v="41882498.609999999"/>
  </r>
  <r>
    <n v="14200005"/>
    <s v="REPUESTOS"/>
    <x v="4"/>
    <x v="5"/>
    <n v="0"/>
    <n v="0"/>
    <m/>
    <m/>
    <n v="0"/>
    <n v="27284426.899999999"/>
    <m/>
    <m/>
    <n v="27284426.899999999"/>
  </r>
  <r>
    <n v="14300500"/>
    <s v="Productos terminados, manufacturados"/>
    <x v="4"/>
    <x v="5"/>
    <n v="0"/>
    <n v="0"/>
    <m/>
    <m/>
    <n v="0"/>
    <n v="217407445.02000001"/>
    <m/>
    <m/>
    <n v="217407445.02000001"/>
  </r>
  <r>
    <n v="15040000"/>
    <s v="Prop.,pl/equ.,terren"/>
    <x v="5"/>
    <x v="6"/>
    <n v="1694129760"/>
    <n v="0"/>
    <m/>
    <m/>
    <n v="1694129760"/>
    <n v="0"/>
    <m/>
    <m/>
    <n v="1694129760"/>
  </r>
  <r>
    <n v="19100400"/>
    <s v="Valoriz. prop., planta y equipo, terrenos"/>
    <x v="5"/>
    <x v="6"/>
    <n v="5956220240"/>
    <n v="0"/>
    <m/>
    <m/>
    <n v="5956220240"/>
    <n v="0"/>
    <m/>
    <m/>
    <n v="5956220240"/>
  </r>
  <r>
    <n v="15080000"/>
    <s v="CONSTRUCCIONES EN CURSO"/>
    <x v="5"/>
    <x v="6"/>
    <n v="47656611"/>
    <n v="-47656611"/>
    <m/>
    <m/>
    <n v="0"/>
    <n v="96606601.319999993"/>
    <m/>
    <m/>
    <n v="96606601.319999993"/>
  </r>
  <r>
    <n v="15080500"/>
    <s v="Constr.curso,constr/"/>
    <x v="5"/>
    <x v="6"/>
    <n v="0"/>
    <n v="0"/>
    <m/>
    <m/>
    <n v="0"/>
    <n v="0"/>
    <m/>
    <m/>
    <n v="0"/>
  </r>
  <r>
    <n v="15160000"/>
    <s v="Constr./edificacione"/>
    <x v="5"/>
    <x v="6"/>
    <n v="767877669"/>
    <n v="-0.2"/>
    <m/>
    <m/>
    <n v="767877668.79999995"/>
    <n v="0"/>
    <m/>
    <m/>
    <n v="767877668.79999995"/>
  </r>
  <r>
    <n v="15161000"/>
    <s v="Constr./edific.prod."/>
    <x v="5"/>
    <x v="6"/>
    <n v="7757906220"/>
    <n v="0"/>
    <m/>
    <m/>
    <n v="7757906220"/>
    <n v="0"/>
    <m/>
    <m/>
    <n v="7757906220"/>
  </r>
  <r>
    <n v="15162000"/>
    <s v="Constr./instalacione"/>
    <x v="5"/>
    <x v="6"/>
    <n v="719412180"/>
    <n v="0"/>
    <m/>
    <m/>
    <n v="719412180"/>
    <n v="24445958.859999999"/>
    <m/>
    <m/>
    <n v="743858138.86000001"/>
  </r>
  <r>
    <n v="15200000"/>
    <s v="Maqu/equ. adquirida"/>
    <x v="5"/>
    <x v="6"/>
    <n v="13432270478"/>
    <n v="852524793.63"/>
    <m/>
    <m/>
    <n v="14284795271.629999"/>
    <n v="578272399.53999996"/>
    <m/>
    <m/>
    <n v="14863067671.169998"/>
  </r>
  <r>
    <n v="15210000"/>
    <s v="Maqu/equ.herramienta"/>
    <x v="5"/>
    <x v="6"/>
    <n v="0"/>
    <n v="0"/>
    <m/>
    <m/>
    <n v="0"/>
    <n v="26369067"/>
    <m/>
    <m/>
    <n v="26369067"/>
  </r>
  <r>
    <n v="15240000"/>
    <s v="Equipo de oficina"/>
    <x v="5"/>
    <x v="6"/>
    <n v="40322293"/>
    <n v="7731695"/>
    <m/>
    <m/>
    <n v="48053988"/>
    <n v="0"/>
    <m/>
    <m/>
    <n v="48053988"/>
  </r>
  <r>
    <n v="15280000"/>
    <s v="Equ.comp./com."/>
    <x v="5"/>
    <x v="6"/>
    <n v="120981812"/>
    <n v="15662828.449999999"/>
    <m/>
    <m/>
    <n v="136644640.44999999"/>
    <n v="33917199"/>
    <m/>
    <m/>
    <n v="170561839.44999999"/>
  </r>
  <r>
    <n v="15400000"/>
    <s v="Flota/equ.de transpo"/>
    <x v="5"/>
    <x v="6"/>
    <n v="2343903438"/>
    <n v="124999999.55"/>
    <m/>
    <m/>
    <n v="2468903437.5500002"/>
    <n v="0"/>
    <m/>
    <m/>
    <n v="2468903437.5500002"/>
  </r>
  <r>
    <n v="15920500"/>
    <s v="Depreciación acumulada, construcciones y edificaci"/>
    <x v="5"/>
    <x v="6"/>
    <n v="-35549892"/>
    <n v="-17063948.280000001"/>
    <m/>
    <m/>
    <n v="-52613840.280000001"/>
    <n v="-17063948.199999999"/>
    <m/>
    <m/>
    <n v="-69677788.480000004"/>
  </r>
  <r>
    <n v="15920600"/>
    <s v="Depreciación acumulada, construcciones produccion"/>
    <x v="5"/>
    <x v="6"/>
    <n v="-359162325"/>
    <n v="-172397916"/>
    <m/>
    <m/>
    <n v="-531560241"/>
    <n v="-172397916"/>
    <m/>
    <m/>
    <n v="-703958157"/>
  </r>
  <r>
    <n v="15920700"/>
    <s v="Depreciación acumulada, instalaciones"/>
    <x v="5"/>
    <x v="6"/>
    <n v="-33306119.239999998"/>
    <n v="-15986937.77"/>
    <m/>
    <m/>
    <n v="-49293057.009999998"/>
    <n v="-16077477.92"/>
    <m/>
    <m/>
    <n v="-65370534.93"/>
  </r>
  <r>
    <n v="15921000"/>
    <s v="Depreciación acumulada, maquinaria y equipo"/>
    <x v="5"/>
    <x v="6"/>
    <n v="-1118537795"/>
    <n v="-683784568.14999998"/>
    <m/>
    <m/>
    <n v="-1802322363.1500001"/>
    <n v="-729723764.16999996"/>
    <m/>
    <m/>
    <n v="-2532046127.3200002"/>
  </r>
  <r>
    <n v="15921100"/>
    <s v="Depreciación acumulada, herramientas"/>
    <x v="5"/>
    <x v="6"/>
    <n v="0"/>
    <n v="0"/>
    <m/>
    <m/>
    <n v="0"/>
    <n v="-1114924.8500000001"/>
    <m/>
    <m/>
    <n v="-1114924.8500000001"/>
  </r>
  <r>
    <n v="15921500"/>
    <s v="Depr.acum,equ.d.ofic"/>
    <x v="5"/>
    <x v="6"/>
    <n v="-10649722"/>
    <n v="-4483244.83"/>
    <m/>
    <m/>
    <n v="-15132966.83"/>
    <n v="-4805398.8"/>
    <m/>
    <m/>
    <n v="-19938365.629999999"/>
  </r>
  <r>
    <n v="15922000"/>
    <s v="Depr.acum,comp/com."/>
    <x v="5"/>
    <x v="6"/>
    <n v="-26501240"/>
    <n v="-19427101.670000002"/>
    <m/>
    <m/>
    <n v="-45928341.670000002"/>
    <n v="-22150976.41"/>
    <m/>
    <m/>
    <n v="-68079318.079999998"/>
  </r>
  <r>
    <n v="15923500"/>
    <s v="Depr.acum,fl/equ.tra"/>
    <x v="5"/>
    <x v="6"/>
    <n v="-752173949"/>
    <n v="-236542909.88"/>
    <m/>
    <m/>
    <n v="-988716858.88"/>
    <n v="-242837353.91999999"/>
    <m/>
    <m/>
    <n v="-1231554212.8"/>
  </r>
  <r>
    <n v="16259500"/>
    <s v="Dr., otros"/>
    <x v="6"/>
    <x v="7"/>
    <n v="8453242.7300000004"/>
    <n v="-7245636.6200000001"/>
    <m/>
    <m/>
    <n v="1207606.1100000003"/>
    <n v="-1207606.1100000001"/>
    <m/>
    <m/>
    <n v="2.3283064365386963E-10"/>
  </r>
  <r>
    <n v="16259501"/>
    <s v="Intangible en curso"/>
    <x v="7"/>
    <x v="8"/>
    <n v="0"/>
    <n v="416249657.66000003"/>
    <m/>
    <m/>
    <n v="416249657.66000003"/>
    <n v="0"/>
    <m/>
    <m/>
    <n v="416249657.66000003"/>
  </r>
  <r>
    <n v="16350100"/>
    <s v="Licencias"/>
    <x v="7"/>
    <x v="8"/>
    <n v="25822233"/>
    <n v="78655308"/>
    <m/>
    <m/>
    <n v="104477541"/>
    <n v="21103846.199999999"/>
    <m/>
    <m/>
    <n v="125581387.2"/>
  </r>
  <r>
    <n v="16983000"/>
    <s v="Depreciación y/o amortización acumulada, derechos"/>
    <x v="7"/>
    <x v="8"/>
    <n v="0"/>
    <n v="0"/>
    <m/>
    <m/>
    <n v="0"/>
    <n v="0.23"/>
    <m/>
    <m/>
    <n v="0.23"/>
  </r>
  <r>
    <n v="16984000"/>
    <s v="Depreciación y/o amortización acumulada, licencias"/>
    <x v="7"/>
    <x v="8"/>
    <n v="-12037717"/>
    <n v="-382708.95"/>
    <m/>
    <m/>
    <n v="-12420425.949999999"/>
    <n v="-33609889.799999997"/>
    <m/>
    <m/>
    <n v="-46030315.75"/>
  </r>
  <r>
    <n v="21051000"/>
    <s v="Obligaciones financieras, bancos nacionales, pagar"/>
    <x v="8"/>
    <x v="9"/>
    <n v="-9578896000"/>
    <n v="-1300000000"/>
    <m/>
    <m/>
    <n v="-10878896000"/>
    <n v="0"/>
    <m/>
    <m/>
    <n v="-10878896000"/>
  </r>
  <r>
    <n v="21051001"/>
    <s v="Pasivos estim./prov., para costos y gastos, intere"/>
    <x v="8"/>
    <x v="9"/>
    <n v="-47382275"/>
    <n v="-16093077.59"/>
    <m/>
    <m/>
    <n v="-63475352.590000004"/>
    <n v="23486344.039999999"/>
    <m/>
    <m/>
    <n v="-39989008.550000004"/>
  </r>
  <r>
    <n v="21052000"/>
    <s v="Obl.fin,bannac,acept"/>
    <x v="8"/>
    <x v="9"/>
    <n v="-6070426"/>
    <n v="5790414"/>
    <m/>
    <m/>
    <n v="-280012"/>
    <n v="-122608"/>
    <m/>
    <m/>
    <n v="-402620"/>
  </r>
  <r>
    <n v="21953500"/>
    <s v="Obl.fin., otras obligaciones, otras"/>
    <x v="8"/>
    <x v="10"/>
    <n v="-37774893.869999997"/>
    <n v="28235243.579999998"/>
    <m/>
    <m/>
    <n v="-9539650.2899999991"/>
    <n v="9539650"/>
    <m/>
    <m/>
    <n v="-0.28999999910593033"/>
  </r>
  <r>
    <n v="22100100"/>
    <s v="Proveed. del exterio"/>
    <x v="9"/>
    <x v="11"/>
    <n v="-219766879"/>
    <n v="95836946.969999999"/>
    <m/>
    <m/>
    <n v="-123929932.03"/>
    <n v="-11852319.439999999"/>
    <m/>
    <m/>
    <n v="-135782251.47"/>
  </r>
  <r>
    <n v="23359500"/>
    <s v="Cost./gast.p.pagar,o"/>
    <x v="10"/>
    <x v="12"/>
    <n v="-2079134695"/>
    <n v="1072417945.5"/>
    <m/>
    <m/>
    <n v="-1006716749.5"/>
    <n v="-709991168.82000005"/>
    <m/>
    <m/>
    <n v="-1716707918.3200002"/>
  </r>
  <r>
    <n v="23550500"/>
    <s v="Deudas con accionist"/>
    <x v="9"/>
    <x v="11"/>
    <n v="0"/>
    <n v="-393256800"/>
    <m/>
    <m/>
    <n v="-393256800"/>
    <n v="393256799.99000001"/>
    <m/>
    <m/>
    <n v="-9.9999904632568359E-3"/>
  </r>
  <r>
    <n v="23650500"/>
    <s v="Ret.fuente,salar/pag"/>
    <x v="10"/>
    <x v="12"/>
    <n v="-6995000"/>
    <n v="-3000"/>
    <m/>
    <m/>
    <n v="-6998000"/>
    <n v="-1230000"/>
    <m/>
    <m/>
    <n v="-8228000"/>
  </r>
  <r>
    <n v="23654000"/>
    <s v="Ret.fuente,compras"/>
    <x v="10"/>
    <x v="12"/>
    <n v="-15469303"/>
    <n v="8428863.6400000006"/>
    <m/>
    <m/>
    <n v="-7040439.3599999994"/>
    <n v="-11739831.039999999"/>
    <m/>
    <m/>
    <n v="-18780270.399999999"/>
  </r>
  <r>
    <n v="23657001"/>
    <s v="Otras ret./ patrimon"/>
    <x v="10"/>
    <x v="12"/>
    <n v="-6572991"/>
    <n v="248723"/>
    <m/>
    <m/>
    <n v="-6324268"/>
    <n v="-3629318"/>
    <m/>
    <m/>
    <n v="-9953586"/>
  </r>
  <r>
    <n v="23670100"/>
    <s v="Impto.a l.ventas ret"/>
    <x v="10"/>
    <x v="12"/>
    <n v="-249670"/>
    <n v="249670"/>
    <m/>
    <m/>
    <n v="0"/>
    <n v="-2160847.7400000002"/>
    <m/>
    <m/>
    <n v="-2160847.7400000002"/>
  </r>
  <r>
    <n v="23680100"/>
    <s v="Impto.d.ind/com.rete"/>
    <x v="10"/>
    <x v="12"/>
    <n v="-3718420"/>
    <n v="1992138.3"/>
    <m/>
    <m/>
    <n v="-1726281.7"/>
    <n v="-783154.88"/>
    <m/>
    <m/>
    <n v="-2509436.58"/>
  </r>
  <r>
    <n v="23680101"/>
    <s v="Impto. de industria y comercio retenido Municipal"/>
    <x v="10"/>
    <x v="12"/>
    <n v="-152250"/>
    <n v="152250"/>
    <m/>
    <m/>
    <n v="0"/>
    <n v="0"/>
    <m/>
    <m/>
    <n v="0"/>
  </r>
  <r>
    <n v="23700500"/>
    <s v="Aport.promot.saludEP"/>
    <x v="10"/>
    <x v="12"/>
    <n v="-12908000"/>
    <n v="2961700"/>
    <m/>
    <m/>
    <n v="-9946300"/>
    <n v="-5344939"/>
    <m/>
    <m/>
    <n v="-15291239"/>
  </r>
  <r>
    <n v="23700600"/>
    <s v="Aport.adm.riesgprofA"/>
    <x v="10"/>
    <x v="12"/>
    <n v="-13225500"/>
    <n v="2879200"/>
    <m/>
    <m/>
    <n v="-10346300"/>
    <n v="-7556299"/>
    <m/>
    <m/>
    <n v="-17902599"/>
  </r>
  <r>
    <n v="23701000"/>
    <s v="Aport.ICBF,SENA,cajc"/>
    <x v="10"/>
    <x v="12"/>
    <n v="-11215400"/>
    <n v="2428800"/>
    <m/>
    <m/>
    <n v="-8786600"/>
    <n v="-5272683"/>
    <m/>
    <m/>
    <n v="-14059283"/>
  </r>
  <r>
    <n v="23702500"/>
    <s v="Embargos judiciales"/>
    <x v="10"/>
    <x v="12"/>
    <n v="0"/>
    <n v="-1240532"/>
    <m/>
    <m/>
    <n v="-1240532"/>
    <n v="1240532"/>
    <m/>
    <m/>
    <n v="0"/>
  </r>
  <r>
    <n v="23704500"/>
    <s v="Fondos"/>
    <x v="10"/>
    <x v="12"/>
    <n v="0"/>
    <n v="-5070000"/>
    <m/>
    <m/>
    <n v="-5070000"/>
    <n v="5070000"/>
    <m/>
    <m/>
    <n v="0"/>
  </r>
  <r>
    <n v="23803000"/>
    <s v="Acreed.var.,fond.ces"/>
    <x v="10"/>
    <x v="12"/>
    <n v="-37083500"/>
    <n v="8643700"/>
    <m/>
    <m/>
    <n v="-28439800"/>
    <n v="-68692763"/>
    <m/>
    <m/>
    <n v="-97132563"/>
  </r>
  <r>
    <n v="24040500"/>
    <s v="Imptos,grav.vig.fisc"/>
    <x v="11"/>
    <x v="13"/>
    <n v="0"/>
    <n v="0"/>
    <m/>
    <m/>
    <n v="0"/>
    <n v="0"/>
    <m/>
    <m/>
    <n v="0"/>
  </r>
  <r>
    <n v="24080100"/>
    <s v="Impto.s.l.ventas p.p"/>
    <x v="10"/>
    <x v="12"/>
    <n v="0"/>
    <n v="0"/>
    <m/>
    <m/>
    <n v="0"/>
    <n v="0.97"/>
    <m/>
    <m/>
    <n v="0.97"/>
  </r>
  <r>
    <n v="24120500"/>
    <s v="Impto. de industria y comercio, vigencia fiscal co"/>
    <x v="10"/>
    <x v="12"/>
    <n v="0"/>
    <n v="0"/>
    <m/>
    <m/>
    <n v="0"/>
    <n v="0"/>
    <m/>
    <m/>
    <n v="0"/>
  </r>
  <r>
    <n v="25050100"/>
    <s v="Obl.lab,salarios p.p"/>
    <x v="10"/>
    <x v="12"/>
    <n v="-397857"/>
    <n v="397857"/>
    <m/>
    <m/>
    <n v="0"/>
    <n v="23.1"/>
    <m/>
    <m/>
    <n v="23.1"/>
  </r>
  <r>
    <n v="25400100"/>
    <s v="Indemnizaciones laborales"/>
    <x v="10"/>
    <x v="12"/>
    <n v="0"/>
    <n v="0"/>
    <m/>
    <m/>
    <n v="0"/>
    <n v="0"/>
    <m/>
    <m/>
    <n v="0"/>
  </r>
  <r>
    <n v="26050500"/>
    <s v="Pasivos estim./prov., para costos y gastos, intere"/>
    <x v="8"/>
    <x v="9"/>
    <n v="0"/>
    <n v="0"/>
    <m/>
    <m/>
    <n v="0"/>
    <n v="0"/>
    <m/>
    <m/>
    <n v="0"/>
  </r>
  <r>
    <n v="26059500"/>
    <s v="Pasiv.est,otr. gast/"/>
    <x v="10"/>
    <x v="12"/>
    <n v="-15906082"/>
    <n v="4769160"/>
    <m/>
    <m/>
    <n v="-11136922"/>
    <n v="8404577.1600000001"/>
    <m/>
    <m/>
    <n v="-2732344.84"/>
  </r>
  <r>
    <n v="26100500"/>
    <s v="Pasiv.est,obl.lab,ce"/>
    <x v="10"/>
    <x v="12"/>
    <n v="-84423728"/>
    <n v="-56787029"/>
    <m/>
    <m/>
    <n v="-141210757"/>
    <n v="-48084901"/>
    <m/>
    <m/>
    <n v="-189295658"/>
  </r>
  <r>
    <n v="26101500"/>
    <s v="Pasiv.est,obl.lab,va"/>
    <x v="10"/>
    <x v="12"/>
    <n v="-48629554"/>
    <n v="-44195916.689999998"/>
    <m/>
    <m/>
    <n v="-92825470.689999998"/>
    <n v="-33359920"/>
    <m/>
    <m/>
    <n v="-126185390.69"/>
  </r>
  <r>
    <n v="26102000"/>
    <s v="Pasiv.est,obl.lab,pr"/>
    <x v="10"/>
    <x v="12"/>
    <n v="0"/>
    <n v="0"/>
    <m/>
    <m/>
    <n v="0"/>
    <n v="0"/>
    <m/>
    <m/>
    <n v="0"/>
  </r>
  <r>
    <n v="26109500"/>
    <s v="Pasivos estimados y provisiones, para obl. laboral"/>
    <x v="10"/>
    <x v="12"/>
    <n v="-62748"/>
    <n v="-427096"/>
    <m/>
    <m/>
    <n v="-489844"/>
    <n v="-1164276"/>
    <m/>
    <m/>
    <n v="-1654120"/>
  </r>
  <r>
    <n v="27259500"/>
    <s v="Diferidos, Imptos., diversos"/>
    <x v="12"/>
    <x v="14"/>
    <n v="-595622024"/>
    <n v="0"/>
    <m/>
    <m/>
    <n v="-595622024"/>
    <n v="0"/>
    <m/>
    <m/>
    <n v="-595622024"/>
  </r>
  <r>
    <n v="28050500"/>
    <s v="Antic./avan.recib.cl"/>
    <x v="13"/>
    <x v="15"/>
    <n v="-1172511485"/>
    <n v="242357087.59"/>
    <m/>
    <m/>
    <n v="-930154397.40999997"/>
    <n v="-401977841.67000002"/>
    <m/>
    <m/>
    <n v="-1332132239.0799999"/>
  </r>
  <r>
    <n v="31050500"/>
    <s v="Patrim,cap.soc.,auto"/>
    <x v="14"/>
    <x v="16"/>
    <n v="-27116624669"/>
    <n v="-5365134386.2600002"/>
    <m/>
    <m/>
    <n v="-32481759055.260002"/>
    <n v="0"/>
    <m/>
    <m/>
    <n v="-32481759055.260002"/>
  </r>
  <r>
    <n v="31050501"/>
    <s v="Patrimo, cap social, anticipo recib.por acc a emit"/>
    <x v="15"/>
    <x v="16"/>
    <n v="-1692516101"/>
    <n v="1692334386"/>
    <m/>
    <m/>
    <n v="-181715"/>
    <n v="0"/>
    <m/>
    <m/>
    <n v="-181715"/>
  </r>
  <r>
    <n v="37100100"/>
    <s v="Res.ejerc,pérdidas a"/>
    <x v="16"/>
    <x v="17"/>
    <n v="14230795912.620001"/>
    <n v="2413559255.8499999"/>
    <m/>
    <m/>
    <n v="16644355168.470001"/>
    <n v="-483366096.86000001"/>
    <m/>
    <m/>
    <n v="16160989071.610001"/>
  </r>
  <r>
    <n v="37100101"/>
    <s v="Result. ejercicios anteriores, pérdidas acum-NIFF"/>
    <x v="17"/>
    <x v="18"/>
    <n v="-5322681300.9300003"/>
    <n v="0"/>
    <m/>
    <m/>
    <n v="-5322681300.9300003"/>
    <n v="0"/>
    <m/>
    <m/>
    <n v="-5322681300.9300003"/>
  </r>
  <r>
    <n v="38100400"/>
    <s v="Superávit por valoriz.,de propiedad., planta y equ"/>
    <x v="18"/>
    <x v="19"/>
    <n v="0"/>
    <n v="0"/>
    <m/>
    <m/>
    <n v="0"/>
    <n v="0"/>
    <m/>
    <m/>
    <n v="0"/>
  </r>
  <r>
    <n v="41301000"/>
    <s v="Ingr.op,constr,ing.c"/>
    <x v="19"/>
    <x v="20"/>
    <n v="-3256996352"/>
    <n v="-8370807078.5900002"/>
    <m/>
    <m/>
    <n v="-8370807078.5900002"/>
    <n v="-9252121752.6399994"/>
    <m/>
    <m/>
    <n v="-9252121752.6399994"/>
  </r>
  <r>
    <n v="41301001"/>
    <s v="Ing.op,const.montaje"/>
    <x v="19"/>
    <x v="20"/>
    <n v="-146519069"/>
    <n v="0"/>
    <m/>
    <m/>
    <n v="0"/>
    <n v="0"/>
    <m/>
    <m/>
    <n v="0"/>
  </r>
  <r>
    <n v="41301002"/>
    <s v="Ing.op,const.adm.imp"/>
    <x v="19"/>
    <x v="20"/>
    <n v="-510527313"/>
    <n v="-1216367897.05"/>
    <m/>
    <m/>
    <n v="-1216367897.05"/>
    <n v="-1384801731.6800001"/>
    <m/>
    <m/>
    <n v="-1384801731.6800001"/>
  </r>
  <r>
    <n v="41301003"/>
    <s v="Ing.op,const.utilida"/>
    <x v="19"/>
    <x v="20"/>
    <n v="-102299467"/>
    <n v="-243273580.88999999"/>
    <m/>
    <m/>
    <n v="-243273580.88999999"/>
    <n v="-276960347.27999997"/>
    <m/>
    <m/>
    <n v="-276960347.27999997"/>
  </r>
  <r>
    <n v="41359500"/>
    <s v="Ingr.op.,com.,otros"/>
    <x v="19"/>
    <x v="20"/>
    <n v="-1408623313"/>
    <n v="-1257142988.21"/>
    <m/>
    <m/>
    <n v="-1257142988.21"/>
    <n v="-397561217.27999997"/>
    <m/>
    <m/>
    <n v="-397561217.27999997"/>
  </r>
  <r>
    <n v="41450500"/>
    <s v="Ingr.op,transp.carre"/>
    <x v="19"/>
    <x v="20"/>
    <n v="0"/>
    <n v="0"/>
    <m/>
    <m/>
    <n v="0"/>
    <n v="0"/>
    <m/>
    <m/>
    <n v="0"/>
  </r>
  <r>
    <n v="42100500"/>
    <s v="N.op.,otr.fin,intere"/>
    <x v="20"/>
    <x v="21"/>
    <n v="0"/>
    <n v="-2004757.75"/>
    <m/>
    <m/>
    <n v="-2004757.75"/>
    <n v="-14202486.289999999"/>
    <m/>
    <m/>
    <n v="-14202486.289999999"/>
  </r>
  <r>
    <n v="42102000"/>
    <s v="N.op.,otr.fin,dif.ca"/>
    <x v="21"/>
    <x v="22"/>
    <n v="-164250714"/>
    <n v="-31927021.199999999"/>
    <m/>
    <m/>
    <n v="-31927021.199999999"/>
    <n v="0"/>
    <m/>
    <m/>
    <n v="0"/>
  </r>
  <r>
    <n v="42102001"/>
    <s v="No operacionales, financieros, diferencia en cambi"/>
    <x v="21"/>
    <x v="22"/>
    <n v="0"/>
    <n v="0"/>
    <m/>
    <m/>
    <n v="0"/>
    <n v="-14722034.880000001"/>
    <m/>
    <m/>
    <n v="-14722034.880000001"/>
  </r>
  <r>
    <n v="42454000"/>
    <s v="No oper.,utilidad flota/equipo de transporte"/>
    <x v="22"/>
    <x v="23"/>
    <n v="-193603508"/>
    <n v="0"/>
    <m/>
    <m/>
    <n v="0"/>
    <n v="-2732798"/>
    <m/>
    <m/>
    <n v="-2732798"/>
  </r>
  <r>
    <n v="42551000"/>
    <s v="No operacionales, indemnizaciones por suministros"/>
    <x v="22"/>
    <x v="23"/>
    <n v="-285600"/>
    <n v="-2748892"/>
    <m/>
    <m/>
    <n v="-2748892"/>
    <n v="-2867469"/>
    <m/>
    <m/>
    <n v="-2867469"/>
  </r>
  <r>
    <n v="42554000"/>
    <s v="No operacionales, incapacidades"/>
    <x v="22"/>
    <x v="23"/>
    <n v="-1625939"/>
    <n v="-17891307"/>
    <m/>
    <m/>
    <n v="-17891307"/>
    <n v="-97838766"/>
    <m/>
    <m/>
    <n v="-97838766"/>
  </r>
  <r>
    <n v="51050300"/>
    <s v="Gast.op.adm,salario"/>
    <x v="23"/>
    <x v="24"/>
    <n v="678957592"/>
    <n v="989058379"/>
    <m/>
    <m/>
    <n v="989058379"/>
    <n v="987066023"/>
    <m/>
    <m/>
    <n v="987066023"/>
  </r>
  <r>
    <n v="51052700"/>
    <s v="Gast.op.adm,pr,auxtr"/>
    <x v="23"/>
    <x v="24"/>
    <n v="3231470"/>
    <n v="3434933"/>
    <m/>
    <m/>
    <n v="3434933"/>
    <n v="2386213"/>
    <m/>
    <m/>
    <n v="2386213"/>
  </r>
  <r>
    <n v="51053000"/>
    <s v="Gast.op.adm,cesantía"/>
    <x v="23"/>
    <x v="24"/>
    <n v="20383913"/>
    <n v="39791054"/>
    <m/>
    <m/>
    <n v="39791054"/>
    <n v="43784158"/>
    <m/>
    <m/>
    <n v="43784158"/>
  </r>
  <r>
    <n v="51053300"/>
    <s v="Gast.op.adm,int.cesa"/>
    <x v="23"/>
    <x v="24"/>
    <n v="2446064"/>
    <n v="8325974.5499999998"/>
    <m/>
    <m/>
    <n v="8325974.5499999998"/>
    <n v="5052023"/>
    <m/>
    <m/>
    <n v="5052023"/>
  </r>
  <r>
    <n v="51053600"/>
    <s v="Gast.op.adm,prima se"/>
    <x v="23"/>
    <x v="24"/>
    <n v="20383913"/>
    <n v="37839499"/>
    <m/>
    <m/>
    <n v="37839499"/>
    <n v="44149011"/>
    <m/>
    <m/>
    <n v="44149011"/>
  </r>
  <r>
    <n v="51053900"/>
    <s v="Gast.op.adm,vacacion"/>
    <x v="23"/>
    <x v="24"/>
    <n v="28668851"/>
    <n v="73802015"/>
    <m/>
    <m/>
    <n v="73802015"/>
    <n v="48536921"/>
    <m/>
    <m/>
    <n v="48536921"/>
  </r>
  <r>
    <n v="51054800"/>
    <s v="Gast.op.adm,pt,bonif"/>
    <x v="23"/>
    <x v="24"/>
    <n v="0"/>
    <n v="8094888"/>
    <m/>
    <m/>
    <n v="8094888"/>
    <n v="3362004"/>
    <m/>
    <m/>
    <n v="3362004"/>
  </r>
  <r>
    <n v="51055100"/>
    <s v="Gast.op.adm,dotación"/>
    <x v="23"/>
    <x v="24"/>
    <n v="1446458"/>
    <n v="2446886.7400000002"/>
    <m/>
    <m/>
    <n v="2446886.7400000002"/>
    <n v="2235439"/>
    <m/>
    <m/>
    <n v="2235439"/>
  </r>
  <r>
    <n v="51055700"/>
    <s v="Gast.op.adm,pension."/>
    <x v="23"/>
    <x v="24"/>
    <n v="66840351"/>
    <n v="101791207"/>
    <m/>
    <m/>
    <n v="101791207"/>
    <n v="138743798"/>
    <m/>
    <m/>
    <n v="138743798"/>
  </r>
  <r>
    <n v="51056000"/>
    <s v="Gast.op.adm,indemniz"/>
    <x v="23"/>
    <x v="24"/>
    <n v="2897683"/>
    <n v="18450196"/>
    <m/>
    <m/>
    <n v="18450196"/>
    <n v="0"/>
    <m/>
    <m/>
    <n v="0"/>
  </r>
  <r>
    <n v="51056300"/>
    <s v="Gast.op.adm,capacit."/>
    <x v="23"/>
    <x v="24"/>
    <n v="7396700"/>
    <n v="1720000"/>
    <m/>
    <m/>
    <n v="1720000"/>
    <n v="3628709"/>
    <m/>
    <m/>
    <n v="3628709"/>
  </r>
  <r>
    <n v="51056600"/>
    <s v="Gast.op.adm,deportiv"/>
    <x v="23"/>
    <x v="24"/>
    <n v="3850000"/>
    <n v="2422000"/>
    <m/>
    <m/>
    <n v="2422000"/>
    <n v="0"/>
    <m/>
    <m/>
    <n v="0"/>
  </r>
  <r>
    <n v="51056800"/>
    <s v="Gast.op.adm,riesg.pr"/>
    <x v="23"/>
    <x v="24"/>
    <n v="29235407"/>
    <n v="46738245.090000004"/>
    <m/>
    <m/>
    <n v="46738245.090000004"/>
    <n v="28246219"/>
    <m/>
    <m/>
    <n v="28246219"/>
  </r>
  <r>
    <n v="51056900"/>
    <s v="Gast.op.adm,prom.sal"/>
    <x v="23"/>
    <x v="24"/>
    <n v="28145291"/>
    <n v="40267560"/>
    <m/>
    <m/>
    <n v="40267560"/>
    <n v="29304458"/>
    <m/>
    <m/>
    <n v="29304458"/>
  </r>
  <r>
    <n v="51057200"/>
    <s v="Gast.op.adm,caj.comp"/>
    <x v="23"/>
    <x v="24"/>
    <n v="21567690"/>
    <n v="33716450"/>
    <m/>
    <m/>
    <n v="33716450"/>
    <n v="34246446"/>
    <m/>
    <m/>
    <n v="34246446"/>
  </r>
  <r>
    <n v="51057500"/>
    <s v="Gast.op.adm,ap.ICBF"/>
    <x v="23"/>
    <x v="24"/>
    <n v="9537820"/>
    <n v="14292661"/>
    <m/>
    <m/>
    <n v="14292661"/>
    <n v="10291188"/>
    <m/>
    <m/>
    <n v="10291188"/>
  </r>
  <r>
    <n v="51057800"/>
    <s v="Gast.op.adm., SENA"/>
    <x v="23"/>
    <x v="24"/>
    <n v="6385458"/>
    <n v="9529107"/>
    <m/>
    <m/>
    <n v="9529107"/>
    <n v="6860792"/>
    <m/>
    <m/>
    <n v="6860792"/>
  </r>
  <r>
    <n v="51058400"/>
    <s v="Gast.op.adm,médicos"/>
    <x v="23"/>
    <x v="24"/>
    <n v="651356"/>
    <n v="546894"/>
    <m/>
    <m/>
    <n v="546894"/>
    <n v="924749"/>
    <m/>
    <m/>
    <n v="924749"/>
  </r>
  <r>
    <n v="51101000"/>
    <s v="Gast.op.adm,honrevis"/>
    <x v="23"/>
    <x v="24"/>
    <n v="97475418"/>
    <n v="47856183.149999999"/>
    <m/>
    <m/>
    <n v="47856183.149999999"/>
    <n v="104118044"/>
    <m/>
    <m/>
    <n v="104118044"/>
  </r>
  <r>
    <n v="51101500"/>
    <s v="Gast.op.adm.,honaud."/>
    <x v="23"/>
    <x v="24"/>
    <n v="0"/>
    <n v="0"/>
    <m/>
    <m/>
    <n v="0"/>
    <n v="0"/>
    <m/>
    <m/>
    <n v="0"/>
  </r>
  <r>
    <n v="51102500"/>
    <s v="Gast.op.adm,hon.ases"/>
    <x v="23"/>
    <x v="24"/>
    <n v="0"/>
    <n v="4648390"/>
    <m/>
    <m/>
    <n v="4648390"/>
    <n v="43531380"/>
    <m/>
    <m/>
    <n v="43531380"/>
  </r>
  <r>
    <n v="51103500"/>
    <s v="Gast.op.adm,ases.téc"/>
    <x v="23"/>
    <x v="24"/>
    <n v="62979487"/>
    <n v="56572509"/>
    <m/>
    <m/>
    <n v="56572509"/>
    <n v="0"/>
    <m/>
    <m/>
    <n v="0"/>
  </r>
  <r>
    <n v="51109500"/>
    <s v="Gast.op.adm,hon.otr."/>
    <x v="23"/>
    <x v="24"/>
    <n v="17918395"/>
    <n v="32162575.16"/>
    <m/>
    <m/>
    <n v="32162575.16"/>
    <n v="12091976"/>
    <m/>
    <m/>
    <n v="12091976"/>
  </r>
  <r>
    <n v="51154000"/>
    <s v="Gast.op.adm,imp.veh."/>
    <x v="23"/>
    <x v="24"/>
    <n v="988000"/>
    <n v="579000"/>
    <m/>
    <m/>
    <n v="579000"/>
    <n v="461000"/>
    <m/>
    <m/>
    <n v="461000"/>
  </r>
  <r>
    <n v="51157000"/>
    <s v="Gast.op.adm,IVA desc"/>
    <x v="23"/>
    <x v="24"/>
    <n v="0"/>
    <n v="4231488.26"/>
    <m/>
    <m/>
    <n v="4231488.26"/>
    <n v="532000"/>
    <m/>
    <m/>
    <n v="532000"/>
  </r>
  <r>
    <n v="51159500"/>
    <s v="Gast.op.adm,imptos."/>
    <x v="23"/>
    <x v="24"/>
    <n v="73931133"/>
    <n v="149537972.08000001"/>
    <m/>
    <m/>
    <n v="149537972.08000001"/>
    <n v="151191329.52000001"/>
    <m/>
    <m/>
    <n v="151191329.52000001"/>
  </r>
  <r>
    <n v="51201000"/>
    <s v="Gast.op.adm,arr.edif"/>
    <x v="23"/>
    <x v="24"/>
    <n v="4444000"/>
    <n v="4874000"/>
    <m/>
    <m/>
    <n v="4874000"/>
    <n v="74797081.989999995"/>
    <m/>
    <m/>
    <n v="74797081.989999995"/>
  </r>
  <r>
    <n v="51201500"/>
    <s v="Gast.op.adm,arr.maqu"/>
    <x v="23"/>
    <x v="24"/>
    <n v="6750000"/>
    <n v="0"/>
    <m/>
    <m/>
    <n v="0"/>
    <n v="0"/>
    <m/>
    <m/>
    <n v="0"/>
  </r>
  <r>
    <n v="51204000"/>
    <s v="Gast.op.adm,fl.trans"/>
    <x v="23"/>
    <x v="24"/>
    <n v="3500000"/>
    <n v="2339142.62"/>
    <m/>
    <m/>
    <n v="2339142.62"/>
    <n v="3766655"/>
    <m/>
    <m/>
    <n v="3766655"/>
  </r>
  <r>
    <n v="51209500"/>
    <s v="Gast.op.adm,arr.otr."/>
    <x v="23"/>
    <x v="24"/>
    <n v="0"/>
    <n v="0"/>
    <m/>
    <m/>
    <n v="0"/>
    <n v="1106700"/>
    <m/>
    <m/>
    <n v="1106700"/>
  </r>
  <r>
    <n v="51250500"/>
    <s v="Gast.op. de administ"/>
    <x v="23"/>
    <x v="24"/>
    <n v="26089280"/>
    <n v="61976591.259999998"/>
    <m/>
    <m/>
    <n v="61976591.259999998"/>
    <n v="22606180"/>
    <m/>
    <m/>
    <n v="22606180"/>
  </r>
  <r>
    <n v="51301000"/>
    <s v="Gast,seg.cumplimient"/>
    <x v="23"/>
    <x v="24"/>
    <n v="101833158"/>
    <n v="677678"/>
    <m/>
    <m/>
    <n v="677678"/>
    <n v="3581532"/>
    <m/>
    <m/>
    <n v="3581532"/>
  </r>
  <r>
    <n v="51302500"/>
    <s v="Gastos,seg. incendio"/>
    <x v="23"/>
    <x v="24"/>
    <n v="0"/>
    <n v="0"/>
    <m/>
    <m/>
    <n v="0"/>
    <n v="3683589"/>
    <m/>
    <m/>
    <n v="3683589"/>
  </r>
  <r>
    <n v="51304000"/>
    <s v="Gast.,seg.transporte"/>
    <x v="23"/>
    <x v="24"/>
    <n v="2363716"/>
    <n v="2857833"/>
    <m/>
    <m/>
    <n v="2857833"/>
    <n v="2682899"/>
    <m/>
    <m/>
    <n v="2682899"/>
  </r>
  <r>
    <n v="51306000"/>
    <s v="Gast.,seg.responsab."/>
    <x v="23"/>
    <x v="24"/>
    <n v="12142499"/>
    <n v="10951936.27"/>
    <m/>
    <m/>
    <n v="10951936.27"/>
    <n v="2550000"/>
    <m/>
    <m/>
    <n v="2550000"/>
  </r>
  <r>
    <n v="51309500"/>
    <s v="Gast.,seguros otros"/>
    <x v="23"/>
    <x v="24"/>
    <n v="50103162"/>
    <n v="33570431"/>
    <m/>
    <m/>
    <n v="33570431"/>
    <n v="7366457"/>
    <m/>
    <m/>
    <n v="7366457"/>
  </r>
  <r>
    <n v="51350510"/>
    <s v="Gasto aseo"/>
    <x v="23"/>
    <x v="24"/>
    <n v="20309719"/>
    <n v="0"/>
    <m/>
    <m/>
    <n v="0"/>
    <n v="0"/>
    <m/>
    <m/>
    <n v="0"/>
  </r>
  <r>
    <n v="51351000"/>
    <s v="Gast.,serv.temporal."/>
    <x v="23"/>
    <x v="24"/>
    <n v="1500222"/>
    <n v="0"/>
    <m/>
    <m/>
    <n v="0"/>
    <n v="0"/>
    <m/>
    <m/>
    <n v="0"/>
  </r>
  <r>
    <n v="51351500"/>
    <s v="Gast.,serv.asistenc."/>
    <x v="23"/>
    <x v="24"/>
    <n v="15051949"/>
    <n v="10705585.33"/>
    <m/>
    <m/>
    <n v="10705585.33"/>
    <n v="42503024.460000001"/>
    <m/>
    <m/>
    <n v="42503024.460000001"/>
  </r>
  <r>
    <n v="51352500"/>
    <s v="Gast.,acued/alcantar"/>
    <x v="23"/>
    <x v="24"/>
    <n v="632063"/>
    <n v="490586"/>
    <m/>
    <m/>
    <n v="490586"/>
    <n v="1248810"/>
    <m/>
    <m/>
    <n v="1248810"/>
  </r>
  <r>
    <n v="51353000"/>
    <s v="Gast.,energ.eléctr."/>
    <x v="23"/>
    <x v="24"/>
    <n v="6586463"/>
    <n v="3128341"/>
    <m/>
    <m/>
    <n v="3128341"/>
    <n v="3692349"/>
    <m/>
    <m/>
    <n v="3692349"/>
  </r>
  <r>
    <n v="51353500"/>
    <s v="Gast.,serv. teléfono"/>
    <x v="23"/>
    <x v="24"/>
    <n v="41333756"/>
    <n v="45255333.340000004"/>
    <m/>
    <m/>
    <n v="45255333.340000004"/>
    <n v="50001235"/>
    <m/>
    <m/>
    <n v="50001235"/>
  </r>
  <r>
    <n v="51354000"/>
    <s v="Gast.,correo/telegr."/>
    <x v="23"/>
    <x v="24"/>
    <n v="0"/>
    <n v="0"/>
    <m/>
    <m/>
    <n v="0"/>
    <n v="92800"/>
    <m/>
    <m/>
    <n v="92800"/>
  </r>
  <r>
    <n v="51355000"/>
    <s v="Gast.,transp./fletes"/>
    <x v="23"/>
    <x v="24"/>
    <n v="5412897"/>
    <n v="1150387"/>
    <m/>
    <m/>
    <n v="1150387"/>
    <n v="3108000"/>
    <m/>
    <m/>
    <n v="3108000"/>
  </r>
  <r>
    <n v="51355500"/>
    <s v="Gast.,serv.,gas"/>
    <x v="23"/>
    <x v="24"/>
    <n v="0"/>
    <n v="0"/>
    <m/>
    <m/>
    <n v="0"/>
    <n v="0"/>
    <m/>
    <m/>
    <n v="0"/>
  </r>
  <r>
    <n v="51359500"/>
    <s v="Gastos,serv.,otros"/>
    <x v="23"/>
    <x v="24"/>
    <n v="5280608"/>
    <n v="3200000"/>
    <m/>
    <m/>
    <n v="3200000"/>
    <n v="0"/>
    <m/>
    <m/>
    <n v="0"/>
  </r>
  <r>
    <n v="51400500"/>
    <s v="Gast.legal.,notarial"/>
    <x v="23"/>
    <x v="24"/>
    <n v="27769761"/>
    <n v="40169236.420000002"/>
    <m/>
    <m/>
    <n v="40169236.420000002"/>
    <n v="1925799"/>
    <m/>
    <m/>
    <n v="1925799"/>
  </r>
  <r>
    <n v="51401000"/>
    <s v="Gast.legal,reg.merc."/>
    <x v="23"/>
    <x v="24"/>
    <n v="1923200"/>
    <n v="5800"/>
    <m/>
    <m/>
    <n v="5800"/>
    <n v="2115100"/>
    <m/>
    <m/>
    <n v="2115100"/>
  </r>
  <r>
    <n v="51451500"/>
    <s v="Gast.repar.maquin."/>
    <x v="23"/>
    <x v="24"/>
    <n v="40710456"/>
    <n v="40533447.210000001"/>
    <m/>
    <m/>
    <n v="40533447.210000001"/>
    <n v="43619850"/>
    <m/>
    <m/>
    <n v="43619850"/>
  </r>
  <r>
    <n v="51452000"/>
    <s v="Gast.repar.equ.ofic."/>
    <x v="23"/>
    <x v="24"/>
    <n v="5675212"/>
    <n v="0"/>
    <m/>
    <m/>
    <n v="0"/>
    <n v="0"/>
    <m/>
    <m/>
    <n v="0"/>
  </r>
  <r>
    <n v="51454000"/>
    <s v="Gast.repar,equ.trans"/>
    <x v="23"/>
    <x v="24"/>
    <n v="4449579"/>
    <n v="0"/>
    <m/>
    <m/>
    <n v="0"/>
    <n v="0"/>
    <m/>
    <m/>
    <n v="0"/>
  </r>
  <r>
    <n v="51550500"/>
    <s v="Gast.viaj.,alojam."/>
    <x v="23"/>
    <x v="24"/>
    <n v="13634961"/>
    <n v="13106526"/>
    <m/>
    <m/>
    <n v="13106526"/>
    <n v="7272166"/>
    <m/>
    <m/>
    <n v="7272166"/>
  </r>
  <r>
    <n v="51551500"/>
    <s v="Gast.viaje,pasaj.aér"/>
    <x v="23"/>
    <x v="24"/>
    <n v="59543003"/>
    <n v="65166569"/>
    <m/>
    <m/>
    <n v="65166569"/>
    <n v="20401662"/>
    <m/>
    <m/>
    <n v="20401662"/>
  </r>
  <r>
    <n v="51552000"/>
    <s v="Gast.viaj,pasaj.terr"/>
    <x v="23"/>
    <x v="24"/>
    <n v="149468637"/>
    <n v="579570"/>
    <m/>
    <m/>
    <n v="579570"/>
    <n v="24483259"/>
    <m/>
    <m/>
    <n v="24483259"/>
  </r>
  <r>
    <n v="51600500"/>
    <s v="Gast.,depr.,constr."/>
    <x v="23"/>
    <x v="24"/>
    <n v="39560826.240000002"/>
    <n v="18098730.620000001"/>
    <m/>
    <m/>
    <n v="18098730.620000001"/>
    <n v="0"/>
    <m/>
    <m/>
    <n v="0"/>
  </r>
  <r>
    <n v="51601000"/>
    <s v="Gast.,depr.,maquin."/>
    <x v="23"/>
    <x v="24"/>
    <n v="30884355"/>
    <n v="0"/>
    <m/>
    <m/>
    <n v="0"/>
    <n v="0"/>
    <m/>
    <m/>
    <n v="0"/>
  </r>
  <r>
    <n v="51601500"/>
    <s v="Gast.,depr.,equ.ofic"/>
    <x v="23"/>
    <x v="24"/>
    <n v="12418941"/>
    <n v="25125337.68"/>
    <m/>
    <m/>
    <n v="25125337.68"/>
    <n v="17680370.579999998"/>
    <m/>
    <m/>
    <n v="17680370.579999998"/>
  </r>
  <r>
    <n v="51603500"/>
    <s v="Gast.,depr.equ.trans"/>
    <x v="23"/>
    <x v="24"/>
    <n v="35649253"/>
    <n v="0"/>
    <m/>
    <m/>
    <n v="0"/>
    <n v="0"/>
    <m/>
    <m/>
    <n v="0"/>
  </r>
  <r>
    <n v="51605000"/>
    <s v="Gastos depreciación Activo por derecho de uso"/>
    <x v="23"/>
    <x v="24"/>
    <n v="7245636.6200000001"/>
    <n v="0"/>
    <m/>
    <m/>
    <n v="0"/>
    <n v="0"/>
    <m/>
    <m/>
    <n v="0"/>
  </r>
  <r>
    <n v="51651001"/>
    <s v="Gastos op. admin.,amort. intangibles,Licencias"/>
    <x v="23"/>
    <x v="24"/>
    <n v="6031197"/>
    <n v="6550479.2699999996"/>
    <m/>
    <m/>
    <n v="6550479.2699999996"/>
    <n v="32742294.969999999"/>
    <m/>
    <m/>
    <n v="32742294.969999999"/>
  </r>
  <r>
    <n v="51651002"/>
    <s v="Gastos op. admin.,amort. intangibles,Derechos"/>
    <x v="23"/>
    <x v="24"/>
    <n v="0"/>
    <n v="0"/>
    <m/>
    <m/>
    <n v="0"/>
    <n v="1207605.8799999999"/>
    <m/>
    <m/>
    <n v="1207605.8799999999"/>
  </r>
  <r>
    <n v="51951000"/>
    <s v="Gast.div.,libros,sub"/>
    <x v="23"/>
    <x v="24"/>
    <n v="4650000"/>
    <n v="30716510.43"/>
    <m/>
    <m/>
    <n v="30716510.43"/>
    <n v="25374600"/>
    <m/>
    <m/>
    <n v="25374600"/>
  </r>
  <r>
    <n v="51952000"/>
    <s v="Gast.div.,represent."/>
    <x v="23"/>
    <x v="24"/>
    <n v="4777000"/>
    <n v="2848767"/>
    <m/>
    <m/>
    <n v="2848767"/>
    <n v="3284000"/>
    <m/>
    <m/>
    <n v="3284000"/>
  </r>
  <r>
    <n v="51952500"/>
    <s v="Gast.div.,elem.aseo"/>
    <x v="23"/>
    <x v="24"/>
    <n v="9307291"/>
    <n v="18177267.129999999"/>
    <m/>
    <m/>
    <n v="18177267.129999999"/>
    <n v="3873547"/>
    <m/>
    <m/>
    <n v="3873547"/>
  </r>
  <r>
    <n v="51953000"/>
    <s v="Gast.div.,útiles"/>
    <x v="23"/>
    <x v="24"/>
    <n v="7523725"/>
    <n v="9323397.1899999995"/>
    <m/>
    <m/>
    <n v="9323397.1899999995"/>
    <n v="8159759"/>
    <m/>
    <m/>
    <n v="8159759"/>
  </r>
  <r>
    <n v="51953500"/>
    <s v="Gast.div.,combust."/>
    <x v="23"/>
    <x v="24"/>
    <n v="14483187"/>
    <n v="12918253"/>
    <m/>
    <m/>
    <n v="12918253"/>
    <n v="6867286"/>
    <m/>
    <m/>
    <n v="6867286"/>
  </r>
  <r>
    <n v="51954500"/>
    <s v="Gast.div,taxis/buses Y (PEAJES)"/>
    <x v="23"/>
    <x v="24"/>
    <n v="48519952"/>
    <n v="41962093.07"/>
    <m/>
    <m/>
    <n v="41962093.07"/>
    <n v="12552839.99"/>
    <m/>
    <m/>
    <n v="12552839.99"/>
  </r>
  <r>
    <n v="51956000"/>
    <s v="Gast.div,casino/rest"/>
    <x v="23"/>
    <x v="24"/>
    <n v="19302488"/>
    <n v="15422366.75"/>
    <m/>
    <m/>
    <n v="15422366.75"/>
    <n v="4999431"/>
    <m/>
    <m/>
    <n v="4999431"/>
  </r>
  <r>
    <n v="51959503"/>
    <s v="Patrocinio auspicio"/>
    <x v="23"/>
    <x v="24"/>
    <n v="0"/>
    <n v="0"/>
    <m/>
    <m/>
    <n v="0"/>
    <n v="2975000"/>
    <m/>
    <m/>
    <n v="2975000"/>
  </r>
  <r>
    <n v="52157099"/>
    <s v="Corr.imptos.IVA desc"/>
    <x v="23"/>
    <x v="24"/>
    <n v="11794"/>
    <n v="0"/>
    <m/>
    <m/>
    <n v="0"/>
    <n v="0"/>
    <m/>
    <m/>
    <n v="0"/>
  </r>
  <r>
    <n v="53050500"/>
    <s v="N.op.,fin.,gast.banc"/>
    <x v="20"/>
    <x v="21"/>
    <n v="1216694"/>
    <n v="1809343.3"/>
    <m/>
    <m/>
    <n v="1809343.3"/>
    <n v="20089597.23"/>
    <m/>
    <m/>
    <n v="20089597.23"/>
  </r>
  <r>
    <n v="53051500"/>
    <s v="N.op.,fin.,comisione"/>
    <x v="20"/>
    <x v="21"/>
    <n v="7585235"/>
    <n v="10303414.449999999"/>
    <m/>
    <m/>
    <n v="10303414.449999999"/>
    <n v="6087116"/>
    <m/>
    <m/>
    <n v="6087116"/>
  </r>
  <r>
    <n v="53052000"/>
    <s v="No operacionales, financieros, intereses"/>
    <x v="20"/>
    <x v="21"/>
    <n v="703383347"/>
    <n v="686534122.95000005"/>
    <m/>
    <m/>
    <n v="686534122.95000005"/>
    <n v="750329528.54999995"/>
    <m/>
    <m/>
    <n v="750329528.54999995"/>
  </r>
  <r>
    <n v="53052001"/>
    <s v="No op.Intereses arrendamientos"/>
    <x v="20"/>
    <x v="21"/>
    <n v="47997131.450000003"/>
    <n v="30771318.420000002"/>
    <m/>
    <m/>
    <n v="30771318.420000002"/>
    <n v="496428"/>
    <m/>
    <m/>
    <n v="496428"/>
  </r>
  <r>
    <n v="53052500"/>
    <s v="N.op.,fin.,dif.en ca"/>
    <x v="21"/>
    <x v="22"/>
    <n v="284876269"/>
    <n v="0"/>
    <m/>
    <m/>
    <n v="0"/>
    <n v="137684835.72"/>
    <m/>
    <m/>
    <n v="137684835.72"/>
  </r>
  <r>
    <n v="53151500"/>
    <s v="'N.op.extrao.,ejerc."/>
    <x v="22"/>
    <x v="23"/>
    <n v="104055524"/>
    <n v="131937908.15000001"/>
    <m/>
    <m/>
    <n v="131937908.15000001"/>
    <n v="52987966.719999999"/>
    <m/>
    <m/>
    <n v="52987966.719999999"/>
  </r>
  <r>
    <n v="53152000"/>
    <s v="'N.op.extrao,imptos."/>
    <x v="22"/>
    <x v="23"/>
    <n v="316165"/>
    <n v="5007"/>
    <m/>
    <m/>
    <n v="5007"/>
    <n v="3040358.59"/>
    <m/>
    <m/>
    <n v="3040358.59"/>
  </r>
  <r>
    <n v="53952000"/>
    <s v="'N.op.div.,sanc./lit"/>
    <x v="22"/>
    <x v="23"/>
    <n v="1706394"/>
    <n v="0"/>
    <m/>
    <m/>
    <n v="0"/>
    <n v="358000"/>
    <m/>
    <m/>
    <n v="358000"/>
  </r>
  <r>
    <n v="53952500"/>
    <s v="'N.op.div.,donacione"/>
    <x v="22"/>
    <x v="23"/>
    <n v="0"/>
    <n v="168200"/>
    <m/>
    <m/>
    <n v="168200"/>
    <n v="201840"/>
    <m/>
    <m/>
    <n v="201840"/>
  </r>
  <r>
    <n v="53959501"/>
    <s v="'N.op.div.,otros,red"/>
    <x v="22"/>
    <x v="23"/>
    <n v="108480"/>
    <n v="116670.19"/>
    <m/>
    <m/>
    <n v="116670.19"/>
    <n v="223646.18"/>
    <m/>
    <m/>
    <n v="223646.18"/>
  </r>
  <r>
    <n v="53959503"/>
    <s v="Pruebas y análisis de material"/>
    <x v="22"/>
    <x v="23"/>
    <n v="0"/>
    <n v="0"/>
    <m/>
    <m/>
    <n v="0"/>
    <n v="1675584"/>
    <m/>
    <m/>
    <n v="1675584"/>
  </r>
  <r>
    <n v="54050500"/>
    <s v="Impto.renta/compleme"/>
    <x v="24"/>
    <x v="25"/>
    <n v="154142000"/>
    <n v="72817000"/>
    <m/>
    <m/>
    <n v="72817000"/>
    <n v="25329000"/>
    <m/>
    <m/>
    <n v="25329000"/>
  </r>
  <r>
    <n v="61301001"/>
    <s v="SERV D OBRAS CIVILES"/>
    <x v="25"/>
    <x v="26"/>
    <n v="2497023504"/>
    <n v="8422473409.9700003"/>
    <m/>
    <m/>
    <n v="8422473409.9700003"/>
    <n v="7343203636.6800003"/>
    <m/>
    <m/>
    <n v="7343203636.6800003"/>
  </r>
  <r>
    <n v="61301002"/>
    <s v="SERV DE FABRICACION"/>
    <x v="25"/>
    <x v="26"/>
    <n v="754188972"/>
    <n v="162940478.59999999"/>
    <m/>
    <m/>
    <n v="162940478.59999999"/>
    <n v="2196966"/>
    <m/>
    <m/>
    <n v="2196966"/>
  </r>
  <r>
    <n v="61301003"/>
    <s v="Costo,const.utilida"/>
    <x v="25"/>
    <x v="26"/>
    <n v="0"/>
    <n v="0"/>
    <m/>
    <m/>
    <n v="0"/>
    <n v="0"/>
    <m/>
    <m/>
    <n v="0"/>
  </r>
  <r>
    <n v="61359500"/>
    <s v="C.v.,com.may/men,otr (Producto Terminado)"/>
    <x v="25"/>
    <x v="26"/>
    <n v="1762889019"/>
    <n v="1786107641.7"/>
    <m/>
    <m/>
    <n v="1786107641.7"/>
    <n v="473472239.01999998"/>
    <m/>
    <m/>
    <n v="473472239.01999998"/>
  </r>
  <r>
    <n v="61450500"/>
    <s v="Costo de venta, servicio transporte por carretera"/>
    <x v="25"/>
    <x v="26"/>
    <n v="25750000"/>
    <n v="0"/>
    <m/>
    <m/>
    <n v="0"/>
    <n v="0"/>
    <m/>
    <m/>
    <n v="0"/>
  </r>
  <r>
    <n v="71010100"/>
    <s v="Variación de productos terminados producción"/>
    <x v="25"/>
    <x v="26"/>
    <n v="0"/>
    <n v="0"/>
    <m/>
    <m/>
    <n v="0"/>
    <n v="0"/>
    <m/>
    <m/>
    <n v="0"/>
  </r>
  <r>
    <n v="71010101"/>
    <s v="Variación de productos en proceso producción"/>
    <x v="25"/>
    <x v="26"/>
    <n v="0"/>
    <n v="0"/>
    <m/>
    <m/>
    <n v="0"/>
    <n v="0"/>
    <m/>
    <m/>
    <n v="0"/>
  </r>
  <r>
    <n v="71010102"/>
    <s v="Variación de productos en proc. Consumo a producci"/>
    <x v="25"/>
    <x v="26"/>
    <n v="0"/>
    <n v="0"/>
    <m/>
    <m/>
    <n v="0"/>
    <n v="0"/>
    <m/>
    <m/>
    <n v="0"/>
  </r>
  <r>
    <n v="74010106"/>
    <s v="CONSUMO DE MATERIAS PRIMAS"/>
    <x v="25"/>
    <x v="26"/>
    <n v="5700736"/>
    <n v="0"/>
    <m/>
    <m/>
    <n v="0"/>
    <n v="0"/>
    <m/>
    <m/>
    <n v="0"/>
  </r>
  <r>
    <n v="80000000"/>
    <s v="Cierre de año"/>
    <x v="26"/>
    <x v="27"/>
    <n v="-2598400592.3099999"/>
    <n v="-2413559254.6599998"/>
    <m/>
    <m/>
    <n v="-2413559254.6599998"/>
    <n v="483366096.97000003"/>
    <m/>
    <m/>
    <n v="483366096.97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575CC9-BFF5-E745-8B84-23CA5F458458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60" firstHeaderRow="0" firstDataRow="1" firstDataCol="1"/>
  <pivotFields count="13">
    <pivotField showAll="0"/>
    <pivotField showAll="0"/>
    <pivotField axis="axisRow" showAll="0" sortType="ascending">
      <items count="28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3"/>
        <item x="12"/>
        <item x="14"/>
        <item x="15"/>
        <item x="16"/>
        <item x="17"/>
        <item x="18"/>
        <item x="19"/>
        <item x="25"/>
        <item x="23"/>
        <item x="22"/>
        <item x="20"/>
        <item x="21"/>
        <item x="24"/>
        <item x="26"/>
        <item t="default"/>
      </items>
    </pivotField>
    <pivotField axis="axisRow" showAll="0">
      <items count="29">
        <item x="8"/>
        <item x="18"/>
        <item x="15"/>
        <item x="16"/>
        <item x="26"/>
        <item x="27"/>
        <item x="1"/>
        <item x="12"/>
        <item x="11"/>
        <item x="22"/>
        <item x="0"/>
        <item x="21"/>
        <item x="25"/>
        <item x="20"/>
        <item x="5"/>
        <item x="9"/>
        <item x="2"/>
        <item x="24"/>
        <item x="19"/>
        <item x="13"/>
        <item x="14"/>
        <item x="6"/>
        <item x="17"/>
        <item x="3"/>
        <item x="23"/>
        <item x="4"/>
        <item x="7"/>
        <item x="10"/>
        <item t="default"/>
      </items>
    </pivotField>
    <pivotField dataField="1" numFmtId="164" showAll="0"/>
    <pivotField numFmtId="164" showAll="0"/>
    <pivotField showAll="0"/>
    <pivotField showAll="0"/>
    <pivotField dataField="1" numFmtId="164" showAll="0"/>
    <pivotField numFmtId="164" showAll="0"/>
    <pivotField showAll="0"/>
    <pivotField showAll="0"/>
    <pivotField dataField="1" numFmtId="164" showAll="0"/>
  </pivotFields>
  <rowFields count="2">
    <field x="2"/>
    <field x="3"/>
  </rowFields>
  <rowItems count="57">
    <i>
      <x/>
    </i>
    <i r="1">
      <x v="10"/>
    </i>
    <i r="1">
      <x v="25"/>
    </i>
    <i>
      <x v="1"/>
    </i>
    <i r="1">
      <x v="6"/>
    </i>
    <i>
      <x v="2"/>
    </i>
    <i r="1">
      <x v="16"/>
    </i>
    <i>
      <x v="3"/>
    </i>
    <i r="1">
      <x v="23"/>
    </i>
    <i>
      <x v="4"/>
    </i>
    <i r="1">
      <x v="14"/>
    </i>
    <i>
      <x v="5"/>
    </i>
    <i r="1">
      <x v="21"/>
    </i>
    <i>
      <x v="6"/>
    </i>
    <i r="1">
      <x v="26"/>
    </i>
    <i>
      <x v="7"/>
    </i>
    <i r="1">
      <x/>
    </i>
    <i>
      <x v="8"/>
    </i>
    <i r="1">
      <x v="15"/>
    </i>
    <i r="1">
      <x v="27"/>
    </i>
    <i>
      <x v="9"/>
    </i>
    <i r="1">
      <x v="7"/>
    </i>
    <i>
      <x v="10"/>
    </i>
    <i r="1">
      <x v="8"/>
    </i>
    <i>
      <x v="11"/>
    </i>
    <i r="1">
      <x v="19"/>
    </i>
    <i>
      <x v="12"/>
    </i>
    <i r="1">
      <x v="2"/>
    </i>
    <i>
      <x v="13"/>
    </i>
    <i r="1">
      <x v="20"/>
    </i>
    <i>
      <x v="14"/>
    </i>
    <i r="1">
      <x v="3"/>
    </i>
    <i>
      <x v="15"/>
    </i>
    <i r="1">
      <x v="3"/>
    </i>
    <i>
      <x v="16"/>
    </i>
    <i r="1">
      <x v="22"/>
    </i>
    <i>
      <x v="17"/>
    </i>
    <i r="1">
      <x v="1"/>
    </i>
    <i>
      <x v="18"/>
    </i>
    <i r="1">
      <x v="18"/>
    </i>
    <i>
      <x v="19"/>
    </i>
    <i r="1">
      <x v="13"/>
    </i>
    <i>
      <x v="20"/>
    </i>
    <i r="1">
      <x v="4"/>
    </i>
    <i>
      <x v="21"/>
    </i>
    <i r="1">
      <x v="17"/>
    </i>
    <i>
      <x v="22"/>
    </i>
    <i r="1">
      <x v="24"/>
    </i>
    <i>
      <x v="23"/>
    </i>
    <i r="1">
      <x v="11"/>
    </i>
    <i>
      <x v="24"/>
    </i>
    <i r="1">
      <x v="9"/>
    </i>
    <i>
      <x v="25"/>
    </i>
    <i r="1">
      <x v="12"/>
    </i>
    <i>
      <x v="26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aldo 31 Dic 2022" fld="12" baseField="0" baseItem="0"/>
    <dataField name="Suma de Saldo 31 Dic 2021" fld="8" baseField="0" baseItem="0"/>
    <dataField name="Suma de Saldo 31 Dic 2020" fld="4" baseField="0" baseItem="0"/>
  </dataFields>
  <formats count="25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18">
      <pivotArea dataOnly="0" labelOnly="1" fieldPosition="0">
        <references count="2">
          <reference field="2" count="1" selected="0">
            <x v="3"/>
          </reference>
          <reference field="3" count="2">
            <x v="6"/>
            <x v="16"/>
          </reference>
        </references>
      </pivotArea>
    </format>
    <format dxfId="17">
      <pivotArea dataOnly="0" labelOnly="1" fieldPosition="0">
        <references count="2">
          <reference field="2" count="1" selected="0">
            <x v="4"/>
          </reference>
          <reference field="3" count="1">
            <x v="14"/>
          </reference>
        </references>
      </pivotArea>
    </format>
    <format dxfId="16">
      <pivotArea dataOnly="0" labelOnly="1" fieldPosition="0">
        <references count="2">
          <reference field="2" count="1" selected="0">
            <x v="5"/>
          </reference>
          <reference field="3" count="1">
            <x v="21"/>
          </reference>
        </references>
      </pivotArea>
    </format>
    <format dxfId="15">
      <pivotArea dataOnly="0" labelOnly="1" fieldPosition="0">
        <references count="2">
          <reference field="2" count="1" selected="0">
            <x v="6"/>
          </reference>
          <reference field="3" count="1">
            <x v="0"/>
          </reference>
        </references>
      </pivotArea>
    </format>
    <format dxfId="14">
      <pivotArea dataOnly="0" labelOnly="1" fieldPosition="0">
        <references count="2">
          <reference field="2" count="1" selected="0">
            <x v="8"/>
          </reference>
          <reference field="3" count="1">
            <x v="15"/>
          </reference>
        </references>
      </pivotArea>
    </format>
    <format dxfId="13">
      <pivotArea dataOnly="0" labelOnly="1" fieldPosition="0">
        <references count="2">
          <reference field="2" count="1" selected="0">
            <x v="9"/>
          </reference>
          <reference field="3" count="1">
            <x v="7"/>
          </reference>
        </references>
      </pivotArea>
    </format>
    <format dxfId="12">
      <pivotArea dataOnly="0" labelOnly="1" fieldPosition="0">
        <references count="2">
          <reference field="2" count="1" selected="0">
            <x v="10"/>
          </reference>
          <reference field="3" count="1">
            <x v="8"/>
          </reference>
        </references>
      </pivotArea>
    </format>
    <format dxfId="11">
      <pivotArea dataOnly="0" labelOnly="1" fieldPosition="0">
        <references count="2">
          <reference field="2" count="1" selected="0">
            <x v="11"/>
          </reference>
          <reference field="3" count="1">
            <x v="19"/>
          </reference>
        </references>
      </pivotArea>
    </format>
    <format dxfId="10">
      <pivotArea dataOnly="0" labelOnly="1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9">
      <pivotArea dataOnly="0" labelOnly="1" fieldPosition="0">
        <references count="2">
          <reference field="2" count="1" selected="0">
            <x v="14"/>
          </reference>
          <reference field="3" count="1">
            <x v="3"/>
          </reference>
        </references>
      </pivotArea>
    </format>
    <format dxfId="8">
      <pivotArea dataOnly="0" labelOnly="1" fieldPosition="0">
        <references count="2">
          <reference field="2" count="1" selected="0">
            <x v="16"/>
          </reference>
          <reference field="3" count="1">
            <x v="22"/>
          </reference>
        </references>
      </pivotArea>
    </format>
    <format dxfId="7">
      <pivotArea dataOnly="0" labelOnly="1" fieldPosition="0">
        <references count="2">
          <reference field="2" count="1" selected="0">
            <x v="17"/>
          </reference>
          <reference field="3" count="1">
            <x v="1"/>
          </reference>
        </references>
      </pivotArea>
    </format>
    <format dxfId="6">
      <pivotArea dataOnly="0" labelOnly="1" fieldPosition="0">
        <references count="2">
          <reference field="2" count="1" selected="0">
            <x v="18"/>
          </reference>
          <reference field="3" count="1">
            <x v="18"/>
          </reference>
        </references>
      </pivotArea>
    </format>
    <format dxfId="5">
      <pivotArea dataOnly="0" labelOnly="1" fieldPosition="0">
        <references count="2">
          <reference field="2" count="1" selected="0">
            <x v="19"/>
          </reference>
          <reference field="3" count="1">
            <x v="13"/>
          </reference>
        </references>
      </pivotArea>
    </format>
    <format dxfId="4">
      <pivotArea dataOnly="0" labelOnly="1" fieldPosition="0">
        <references count="2">
          <reference field="2" count="1" selected="0">
            <x v="20"/>
          </reference>
          <reference field="3" count="3">
            <x v="9"/>
            <x v="11"/>
            <x v="17"/>
          </reference>
        </references>
      </pivotArea>
    </format>
    <format dxfId="3">
      <pivotArea dataOnly="0" labelOnly="1" fieldPosition="0">
        <references count="2">
          <reference field="2" count="1" selected="0">
            <x v="23"/>
          </reference>
          <reference field="3" count="3">
            <x v="9"/>
            <x v="11"/>
            <x v="17"/>
          </reference>
        </references>
      </pivotArea>
    </format>
    <format dxfId="2">
      <pivotArea dataOnly="0" labelOnly="1" fieldPosition="0">
        <references count="2">
          <reference field="2" count="1" selected="0">
            <x v="24"/>
          </reference>
          <reference field="3" count="1">
            <x v="12"/>
          </reference>
        </references>
      </pivotArea>
    </format>
    <format dxfId="1">
      <pivotArea dataOnly="0" labelOnly="1" outline="0" axis="axisValues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A250-5237-0C47-B0A4-499745E418E2}">
  <dimension ref="A2:S76"/>
  <sheetViews>
    <sheetView tabSelected="1" zoomScale="140" zoomScaleNormal="140" workbookViewId="0"/>
  </sheetViews>
  <sheetFormatPr baseColWidth="10" defaultColWidth="10.875" defaultRowHeight="15.75"/>
  <cols>
    <col min="1" max="1" width="10.875" style="1"/>
    <col min="2" max="2" width="12.875" style="55" customWidth="1"/>
    <col min="3" max="3" width="11.875" style="1" customWidth="1"/>
    <col min="4" max="4" width="12.875" style="1" customWidth="1"/>
    <col min="5" max="5" width="11.375" style="1" customWidth="1"/>
    <col min="6" max="6" width="14.375" style="1" customWidth="1"/>
    <col min="7" max="7" width="10.875" style="1"/>
    <col min="8" max="8" width="12.375" style="1" customWidth="1"/>
    <col min="9" max="9" width="10.875" style="1"/>
    <col min="10" max="10" width="18.875" style="1" customWidth="1"/>
    <col min="11" max="15" width="10.875" style="1"/>
    <col min="16" max="16" width="12.375" style="1" customWidth="1"/>
    <col min="17" max="17" width="12.125" style="1" customWidth="1"/>
    <col min="18" max="18" width="11.375" style="1" bestFit="1" customWidth="1"/>
    <col min="19" max="16384" width="10.875" style="1"/>
  </cols>
  <sheetData>
    <row r="2" spans="2:19">
      <c r="B2" s="55" t="s">
        <v>399</v>
      </c>
      <c r="D2" s="1" t="s">
        <v>400</v>
      </c>
    </row>
    <row r="5" spans="2:19">
      <c r="B5" s="82" t="s">
        <v>401</v>
      </c>
      <c r="C5" s="82"/>
      <c r="H5" s="1" t="s">
        <v>408</v>
      </c>
      <c r="I5" s="1" t="s">
        <v>409</v>
      </c>
    </row>
    <row r="6" spans="2:19">
      <c r="B6" s="56">
        <v>1</v>
      </c>
      <c r="E6" s="1" t="s">
        <v>404</v>
      </c>
      <c r="F6" s="1" t="s">
        <v>405</v>
      </c>
      <c r="H6" s="1" t="s">
        <v>410</v>
      </c>
      <c r="K6" s="1" t="s">
        <v>411</v>
      </c>
    </row>
    <row r="7" spans="2:19">
      <c r="B7" s="57"/>
      <c r="C7" s="1" t="s">
        <v>403</v>
      </c>
      <c r="K7" s="1" t="s">
        <v>412</v>
      </c>
      <c r="M7" s="1" t="s">
        <v>413</v>
      </c>
    </row>
    <row r="8" spans="2:19">
      <c r="B8" s="57"/>
      <c r="E8" s="1" t="s">
        <v>406</v>
      </c>
      <c r="F8" s="1" t="s">
        <v>407</v>
      </c>
      <c r="G8" s="1" t="s">
        <v>457</v>
      </c>
      <c r="M8" s="1" t="s">
        <v>414</v>
      </c>
    </row>
    <row r="9" spans="2:19">
      <c r="B9" s="58" t="s">
        <v>402</v>
      </c>
      <c r="C9" s="50"/>
      <c r="M9" s="1" t="s">
        <v>427</v>
      </c>
    </row>
    <row r="10" spans="2:19">
      <c r="B10" s="62"/>
      <c r="K10" s="1" t="s">
        <v>415</v>
      </c>
    </row>
    <row r="11" spans="2:19">
      <c r="B11" s="62" t="s">
        <v>458</v>
      </c>
      <c r="C11" s="1" t="s">
        <v>459</v>
      </c>
      <c r="E11" s="1" t="s">
        <v>456</v>
      </c>
      <c r="K11" s="1" t="s">
        <v>416</v>
      </c>
      <c r="M11" s="1" t="s">
        <v>417</v>
      </c>
    </row>
    <row r="12" spans="2:19">
      <c r="B12" s="60"/>
      <c r="C12" s="50"/>
      <c r="E12" s="1" t="s">
        <v>404</v>
      </c>
      <c r="F12" s="1" t="s">
        <v>450</v>
      </c>
      <c r="H12" s="1" t="s">
        <v>453</v>
      </c>
      <c r="I12" s="1" t="s">
        <v>454</v>
      </c>
      <c r="M12" s="1" t="s">
        <v>418</v>
      </c>
    </row>
    <row r="13" spans="2:19">
      <c r="B13" s="57">
        <v>0.5</v>
      </c>
      <c r="E13" s="1" t="s">
        <v>451</v>
      </c>
      <c r="F13" s="1" t="s">
        <v>452</v>
      </c>
      <c r="H13" s="1" t="s">
        <v>455</v>
      </c>
      <c r="I13" s="1" t="s">
        <v>441</v>
      </c>
      <c r="M13" s="1" t="s">
        <v>438</v>
      </c>
    </row>
    <row r="14" spans="2:19">
      <c r="B14" s="57"/>
      <c r="C14" s="1" t="s">
        <v>448</v>
      </c>
      <c r="I14" s="1" t="s">
        <v>442</v>
      </c>
    </row>
    <row r="15" spans="2:19">
      <c r="B15" s="57"/>
      <c r="C15" s="1" t="s">
        <v>449</v>
      </c>
      <c r="I15" s="1" t="s">
        <v>443</v>
      </c>
      <c r="K15" s="1" t="s">
        <v>425</v>
      </c>
      <c r="P15" s="1" t="s">
        <v>424</v>
      </c>
    </row>
    <row r="16" spans="2:19">
      <c r="B16" s="61">
        <v>0.2</v>
      </c>
      <c r="C16" s="50"/>
      <c r="I16" s="54"/>
      <c r="K16" s="1" t="s">
        <v>420</v>
      </c>
      <c r="N16" s="1">
        <v>10000</v>
      </c>
      <c r="P16" s="1" t="s">
        <v>387</v>
      </c>
      <c r="S16" s="1">
        <v>10000</v>
      </c>
    </row>
    <row r="17" spans="2:19">
      <c r="B17" s="62" t="s">
        <v>476</v>
      </c>
      <c r="E17" s="1" t="s">
        <v>478</v>
      </c>
      <c r="F17" s="1" t="s">
        <v>479</v>
      </c>
      <c r="K17" s="1" t="s">
        <v>421</v>
      </c>
      <c r="N17" s="1">
        <f>-N16</f>
        <v>-10000</v>
      </c>
      <c r="P17" s="1" t="s">
        <v>423</v>
      </c>
      <c r="S17" s="1">
        <f>-S16</f>
        <v>-10000</v>
      </c>
    </row>
    <row r="18" spans="2:19">
      <c r="B18" s="52"/>
      <c r="C18" s="1" t="s">
        <v>477</v>
      </c>
      <c r="F18" s="1" t="s">
        <v>480</v>
      </c>
    </row>
    <row r="19" spans="2:19">
      <c r="B19" s="60"/>
      <c r="C19" s="50"/>
      <c r="F19" s="42" t="s">
        <v>481</v>
      </c>
      <c r="K19" s="1" t="s">
        <v>439</v>
      </c>
      <c r="N19" s="1">
        <v>45000</v>
      </c>
      <c r="P19" s="1" t="s">
        <v>387</v>
      </c>
      <c r="S19" s="1">
        <f>-N20</f>
        <v>45000</v>
      </c>
    </row>
    <row r="20" spans="2:19">
      <c r="K20" s="1" t="s">
        <v>421</v>
      </c>
      <c r="N20" s="1">
        <f>-N19</f>
        <v>-45000</v>
      </c>
      <c r="P20" s="1" t="s">
        <v>391</v>
      </c>
      <c r="S20" s="1">
        <f>-S19</f>
        <v>-45000</v>
      </c>
    </row>
    <row r="22" spans="2:19">
      <c r="D22" s="1" t="s">
        <v>464</v>
      </c>
      <c r="E22" s="1" t="s">
        <v>465</v>
      </c>
      <c r="K22" s="1" t="s">
        <v>426</v>
      </c>
    </row>
    <row r="23" spans="2:19">
      <c r="B23" s="55" t="s">
        <v>460</v>
      </c>
      <c r="D23" s="1" t="s">
        <v>419</v>
      </c>
      <c r="E23" s="1" t="s">
        <v>461</v>
      </c>
      <c r="N23" s="25" t="s">
        <v>419</v>
      </c>
      <c r="O23" s="25" t="s">
        <v>422</v>
      </c>
      <c r="P23" s="25" t="s">
        <v>431</v>
      </c>
      <c r="Q23" s="25" t="s">
        <v>432</v>
      </c>
      <c r="R23" s="25" t="s">
        <v>433</v>
      </c>
    </row>
    <row r="24" spans="2:19">
      <c r="D24" s="1" t="s">
        <v>463</v>
      </c>
      <c r="E24" s="55">
        <v>0.8</v>
      </c>
      <c r="G24" s="64" t="s">
        <v>403</v>
      </c>
      <c r="H24" s="65">
        <v>0.5</v>
      </c>
      <c r="K24" s="1" t="s">
        <v>429</v>
      </c>
      <c r="N24" s="1">
        <v>100000</v>
      </c>
      <c r="O24" s="1">
        <v>50000</v>
      </c>
      <c r="P24" s="1">
        <f>SUM(N24:O24)</f>
        <v>150000</v>
      </c>
      <c r="R24" s="1">
        <f>SUM(P24:Q24)</f>
        <v>150000</v>
      </c>
    </row>
    <row r="25" spans="2:19">
      <c r="B25" s="63" t="s">
        <v>466</v>
      </c>
      <c r="F25" s="25" t="s">
        <v>462</v>
      </c>
      <c r="G25" s="66"/>
      <c r="H25" s="52"/>
      <c r="K25" s="1" t="s">
        <v>434</v>
      </c>
      <c r="N25" s="1">
        <v>145000</v>
      </c>
      <c r="O25" s="1">
        <v>35000</v>
      </c>
      <c r="P25" s="1">
        <f t="shared" ref="P25:P28" si="0">SUM(N25:O25)</f>
        <v>180000</v>
      </c>
      <c r="Q25" s="1">
        <f>-N19</f>
        <v>-45000</v>
      </c>
      <c r="R25" s="1">
        <f t="shared" ref="R25:R28" si="1">SUM(P25:Q25)</f>
        <v>135000</v>
      </c>
    </row>
    <row r="26" spans="2:19">
      <c r="B26" s="55" t="s">
        <v>467</v>
      </c>
      <c r="D26" s="1" t="s">
        <v>422</v>
      </c>
      <c r="E26" s="1" t="s">
        <v>461</v>
      </c>
      <c r="G26" s="66"/>
      <c r="H26" s="52"/>
      <c r="K26" s="1" t="s">
        <v>428</v>
      </c>
      <c r="N26" s="49">
        <f>N16</f>
        <v>10000</v>
      </c>
      <c r="O26" s="1">
        <v>0</v>
      </c>
      <c r="P26" s="1">
        <f t="shared" si="0"/>
        <v>10000</v>
      </c>
      <c r="Q26" s="1">
        <f>-N16</f>
        <v>-10000</v>
      </c>
      <c r="R26" s="1">
        <f t="shared" si="1"/>
        <v>0</v>
      </c>
    </row>
    <row r="27" spans="2:19">
      <c r="B27" s="55" t="s">
        <v>468</v>
      </c>
      <c r="D27" s="1" t="s">
        <v>463</v>
      </c>
      <c r="E27" s="55">
        <v>0.2</v>
      </c>
      <c r="G27" s="67" t="s">
        <v>403</v>
      </c>
      <c r="H27" s="60">
        <v>0.5</v>
      </c>
      <c r="K27" s="1" t="s">
        <v>435</v>
      </c>
      <c r="N27" s="1">
        <v>-200000</v>
      </c>
      <c r="O27" s="1">
        <v>-75000</v>
      </c>
      <c r="P27" s="1">
        <f t="shared" si="0"/>
        <v>-275000</v>
      </c>
      <c r="Q27" s="1">
        <f>-S20</f>
        <v>45000</v>
      </c>
      <c r="R27" s="1">
        <f t="shared" si="1"/>
        <v>-230000</v>
      </c>
    </row>
    <row r="28" spans="2:19">
      <c r="B28" s="55" t="s">
        <v>469</v>
      </c>
      <c r="K28" s="1" t="s">
        <v>430</v>
      </c>
      <c r="N28" s="1">
        <v>-55000</v>
      </c>
      <c r="O28" s="49">
        <v>-10000</v>
      </c>
      <c r="P28" s="1">
        <f t="shared" si="0"/>
        <v>-65000</v>
      </c>
      <c r="Q28" s="1">
        <f>-S17</f>
        <v>10000</v>
      </c>
      <c r="R28" s="1">
        <f t="shared" si="1"/>
        <v>-55000</v>
      </c>
    </row>
    <row r="29" spans="2:19">
      <c r="N29" s="1">
        <f>SUM(N24:N28)</f>
        <v>0</v>
      </c>
      <c r="O29" s="1">
        <f t="shared" ref="O29:R29" si="2">SUM(O24:O28)</f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</row>
    <row r="30" spans="2:19">
      <c r="D30" s="1" t="s">
        <v>470</v>
      </c>
      <c r="H30" s="1" t="s">
        <v>474</v>
      </c>
    </row>
    <row r="31" spans="2:19">
      <c r="D31" s="1" t="s">
        <v>471</v>
      </c>
      <c r="H31" s="1" t="s">
        <v>473</v>
      </c>
      <c r="O31" s="1" t="s">
        <v>436</v>
      </c>
      <c r="P31" s="1">
        <f>SUM(P24:P26)</f>
        <v>340000</v>
      </c>
      <c r="R31" s="1">
        <f>SUM(R24:R26)</f>
        <v>285000</v>
      </c>
    </row>
    <row r="32" spans="2:19">
      <c r="O32" s="1" t="s">
        <v>437</v>
      </c>
      <c r="P32" s="1">
        <f>P27</f>
        <v>-275000</v>
      </c>
      <c r="R32" s="1">
        <f>R27</f>
        <v>-230000</v>
      </c>
    </row>
    <row r="33" spans="3:19">
      <c r="H33" s="1" t="s">
        <v>475</v>
      </c>
      <c r="O33" s="1" t="s">
        <v>388</v>
      </c>
      <c r="P33" s="1">
        <f>P28</f>
        <v>-65000</v>
      </c>
      <c r="R33" s="1">
        <f>R28</f>
        <v>-55000</v>
      </c>
    </row>
    <row r="34" spans="3:19">
      <c r="D34" s="1" t="s">
        <v>472</v>
      </c>
      <c r="H34" s="1" t="s">
        <v>441</v>
      </c>
    </row>
    <row r="35" spans="3:19">
      <c r="H35" s="1" t="s">
        <v>442</v>
      </c>
    </row>
    <row r="36" spans="3:19">
      <c r="H36" s="1" t="s">
        <v>443</v>
      </c>
      <c r="K36" s="1" t="s">
        <v>440</v>
      </c>
      <c r="O36" s="1" t="s">
        <v>441</v>
      </c>
      <c r="Q36" s="54" t="s">
        <v>442</v>
      </c>
      <c r="R36" s="54"/>
      <c r="S36" s="1" t="s">
        <v>443</v>
      </c>
    </row>
    <row r="37" spans="3:19">
      <c r="K37" s="41" t="s">
        <v>445</v>
      </c>
    </row>
    <row r="38" spans="3:19">
      <c r="K38" s="1" t="s">
        <v>444</v>
      </c>
    </row>
    <row r="39" spans="3:19">
      <c r="C39" s="1" t="s">
        <v>482</v>
      </c>
    </row>
    <row r="40" spans="3:19">
      <c r="L40" s="24" t="s">
        <v>419</v>
      </c>
      <c r="Q40" s="24" t="s">
        <v>422</v>
      </c>
    </row>
    <row r="41" spans="3:19">
      <c r="D41" s="25" t="s">
        <v>419</v>
      </c>
      <c r="G41" s="1" t="s">
        <v>487</v>
      </c>
      <c r="K41" s="1" t="s">
        <v>446</v>
      </c>
      <c r="L41" s="1">
        <f>Q43*100%</f>
        <v>10500</v>
      </c>
      <c r="P41" s="1" t="s">
        <v>389</v>
      </c>
      <c r="Q41" s="1">
        <v>19000</v>
      </c>
    </row>
    <row r="42" spans="3:19">
      <c r="D42" s="25" t="s">
        <v>405</v>
      </c>
      <c r="P42" s="1" t="s">
        <v>390</v>
      </c>
      <c r="Q42" s="50">
        <v>-8500</v>
      </c>
    </row>
    <row r="43" spans="3:19">
      <c r="C43" s="68" t="s">
        <v>422</v>
      </c>
      <c r="D43" s="71" t="s">
        <v>485</v>
      </c>
      <c r="E43" s="51" t="s">
        <v>462</v>
      </c>
      <c r="G43" s="1" t="s">
        <v>486</v>
      </c>
      <c r="K43" s="1" t="s">
        <v>420</v>
      </c>
      <c r="N43" s="1">
        <f>L41</f>
        <v>10500</v>
      </c>
      <c r="P43" s="23" t="s">
        <v>386</v>
      </c>
      <c r="Q43" s="23">
        <f>SUM(Q41:Q42)</f>
        <v>10500</v>
      </c>
    </row>
    <row r="44" spans="3:19">
      <c r="C44" s="69" t="s">
        <v>483</v>
      </c>
      <c r="D44" s="50"/>
      <c r="E44" s="70" t="s">
        <v>484</v>
      </c>
      <c r="K44" s="1" t="s">
        <v>447</v>
      </c>
      <c r="N44" s="1">
        <f>-N43</f>
        <v>-10500</v>
      </c>
    </row>
    <row r="46" spans="3:19">
      <c r="C46" s="1" t="s">
        <v>488</v>
      </c>
    </row>
    <row r="50" spans="1:11">
      <c r="A50" s="23" t="s">
        <v>489</v>
      </c>
    </row>
    <row r="52" spans="1:11">
      <c r="B52" s="72" t="s">
        <v>419</v>
      </c>
      <c r="C52" s="1" t="s">
        <v>490</v>
      </c>
    </row>
    <row r="54" spans="1:11" s="23" customFormat="1">
      <c r="B54" s="73" t="s">
        <v>491</v>
      </c>
      <c r="C54" s="74"/>
      <c r="D54" s="75" t="s">
        <v>492</v>
      </c>
      <c r="F54" s="73" t="s">
        <v>492</v>
      </c>
      <c r="G54" s="74"/>
      <c r="H54" s="75" t="s">
        <v>499</v>
      </c>
      <c r="J54" s="23" t="s">
        <v>503</v>
      </c>
    </row>
    <row r="55" spans="1:11" s="23" customFormat="1">
      <c r="B55" s="77"/>
      <c r="D55" s="78"/>
      <c r="F55" s="77" t="s">
        <v>502</v>
      </c>
      <c r="H55" s="78"/>
      <c r="K55" s="24" t="s">
        <v>504</v>
      </c>
    </row>
    <row r="56" spans="1:11">
      <c r="A56" s="1" t="s">
        <v>436</v>
      </c>
      <c r="B56" s="66">
        <v>1500000</v>
      </c>
      <c r="D56" s="52">
        <v>1826000</v>
      </c>
      <c r="F56" s="66">
        <f>D56</f>
        <v>1826000</v>
      </c>
      <c r="H56" s="52">
        <v>1900000</v>
      </c>
      <c r="K56" s="1">
        <f>F56-D56</f>
        <v>0</v>
      </c>
    </row>
    <row r="57" spans="1:11">
      <c r="B57" s="76"/>
      <c r="D57" s="52"/>
      <c r="F57" s="66"/>
      <c r="H57" s="52"/>
    </row>
    <row r="58" spans="1:11">
      <c r="A58" s="1" t="s">
        <v>437</v>
      </c>
      <c r="B58" s="66">
        <v>-450000</v>
      </c>
      <c r="D58" s="52">
        <v>-600000</v>
      </c>
      <c r="F58" s="66">
        <f>D58-D73</f>
        <v>-500000</v>
      </c>
      <c r="H58" s="52">
        <v>-800000</v>
      </c>
      <c r="K58" s="1">
        <f>F58-D58</f>
        <v>100000</v>
      </c>
    </row>
    <row r="59" spans="1:11">
      <c r="B59" s="76"/>
      <c r="D59" s="52"/>
      <c r="F59" s="66"/>
      <c r="H59" s="52"/>
    </row>
    <row r="60" spans="1:11">
      <c r="A60" s="1" t="s">
        <v>388</v>
      </c>
      <c r="B60" s="66"/>
      <c r="D60" s="52"/>
      <c r="F60" s="66"/>
      <c r="H60" s="52"/>
    </row>
    <row r="61" spans="1:11">
      <c r="A61" s="42" t="s">
        <v>493</v>
      </c>
      <c r="B61" s="66">
        <v>-925000</v>
      </c>
      <c r="D61" s="52">
        <v>-925000</v>
      </c>
      <c r="F61" s="66">
        <f>D61</f>
        <v>-925000</v>
      </c>
      <c r="H61" s="52">
        <f>F61</f>
        <v>-925000</v>
      </c>
      <c r="K61" s="1">
        <f t="shared" ref="K61:K62" si="3">F61-D61</f>
        <v>0</v>
      </c>
    </row>
    <row r="62" spans="1:11">
      <c r="A62" s="42" t="s">
        <v>494</v>
      </c>
      <c r="B62" s="66">
        <f>B68</f>
        <v>-125000</v>
      </c>
      <c r="C62" s="1">
        <f>SUM(B56:B62)</f>
        <v>0</v>
      </c>
      <c r="D62" s="52">
        <f>D68+B62</f>
        <v>-301000</v>
      </c>
      <c r="E62" s="1">
        <f>SUM(D56:D62)</f>
        <v>0</v>
      </c>
      <c r="F62" s="66">
        <f>F68+B62</f>
        <v>-401000</v>
      </c>
      <c r="G62" s="1">
        <f>SUM(F56:F62)</f>
        <v>0</v>
      </c>
      <c r="H62" s="52">
        <f>F62+H68</f>
        <v>-175000</v>
      </c>
      <c r="I62" s="1">
        <f>SUM(H56:H62)</f>
        <v>0</v>
      </c>
      <c r="K62" s="1">
        <f t="shared" si="3"/>
        <v>-100000</v>
      </c>
    </row>
    <row r="63" spans="1:11">
      <c r="B63" s="76"/>
      <c r="D63" s="52"/>
      <c r="F63" s="66"/>
      <c r="H63" s="52"/>
    </row>
    <row r="64" spans="1:11">
      <c r="A64" s="1" t="s">
        <v>389</v>
      </c>
      <c r="B64" s="66">
        <v>-620000</v>
      </c>
      <c r="D64" s="52">
        <v>-823000</v>
      </c>
      <c r="F64" s="66">
        <f>D64</f>
        <v>-823000</v>
      </c>
      <c r="H64" s="52">
        <v>-1000000</v>
      </c>
      <c r="K64" s="1">
        <f>F64-D64</f>
        <v>0</v>
      </c>
    </row>
    <row r="65" spans="1:11">
      <c r="B65" s="76"/>
      <c r="D65" s="59"/>
      <c r="F65" s="76"/>
      <c r="H65" s="59"/>
    </row>
    <row r="66" spans="1:11">
      <c r="A66" s="1" t="s">
        <v>390</v>
      </c>
      <c r="B66" s="66">
        <v>495000</v>
      </c>
      <c r="D66" s="52">
        <v>647000</v>
      </c>
      <c r="F66" s="66">
        <f>D66-D74</f>
        <v>547000</v>
      </c>
      <c r="H66" s="52">
        <v>1226000</v>
      </c>
      <c r="K66" s="1">
        <f>F66-D66</f>
        <v>-100000</v>
      </c>
    </row>
    <row r="67" spans="1:11">
      <c r="B67" s="76"/>
      <c r="D67" s="59"/>
      <c r="F67" s="76"/>
      <c r="H67" s="59"/>
    </row>
    <row r="68" spans="1:11">
      <c r="A68" s="1" t="s">
        <v>386</v>
      </c>
      <c r="B68" s="67">
        <f>SUM(B64:B66)</f>
        <v>-125000</v>
      </c>
      <c r="C68" s="50"/>
      <c r="D68" s="53">
        <f>SUM(D64:D66)</f>
        <v>-176000</v>
      </c>
      <c r="F68" s="67">
        <f>SUM(F64:F66)</f>
        <v>-276000</v>
      </c>
      <c r="G68" s="50"/>
      <c r="H68" s="53">
        <f>SUM(H64:H66)</f>
        <v>226000</v>
      </c>
      <c r="K68" s="1">
        <f>SUM(K64:K66)</f>
        <v>-100000</v>
      </c>
    </row>
    <row r="70" spans="1:11">
      <c r="A70" s="23" t="s">
        <v>495</v>
      </c>
      <c r="B70" s="23"/>
      <c r="C70" s="23"/>
      <c r="D70" s="23"/>
      <c r="E70" s="23"/>
      <c r="F70" s="23"/>
    </row>
    <row r="71" spans="1:11">
      <c r="A71" s="1" t="s">
        <v>496</v>
      </c>
      <c r="B71" s="1"/>
    </row>
    <row r="72" spans="1:11">
      <c r="B72" s="1" t="s">
        <v>497</v>
      </c>
      <c r="D72" s="1" t="s">
        <v>498</v>
      </c>
      <c r="F72" s="1" t="s">
        <v>505</v>
      </c>
    </row>
    <row r="73" spans="1:11">
      <c r="B73" s="1" t="s">
        <v>500</v>
      </c>
      <c r="D73" s="1">
        <v>-100000</v>
      </c>
      <c r="F73" s="1" t="s">
        <v>506</v>
      </c>
      <c r="H73" s="1">
        <f>-D73</f>
        <v>100000</v>
      </c>
    </row>
    <row r="74" spans="1:11">
      <c r="B74" s="1" t="s">
        <v>501</v>
      </c>
      <c r="D74" s="1">
        <f>-D73</f>
        <v>100000</v>
      </c>
      <c r="F74" s="1" t="s">
        <v>507</v>
      </c>
      <c r="H74" s="1">
        <f>-H73</f>
        <v>-100000</v>
      </c>
    </row>
    <row r="75" spans="1:11">
      <c r="F75" s="1" t="s">
        <v>508</v>
      </c>
    </row>
    <row r="76" spans="1:11">
      <c r="F76" s="42" t="s">
        <v>509</v>
      </c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72776-0BA0-5C4C-B987-9BB1262BF56C}">
  <dimension ref="A1:P197"/>
  <sheetViews>
    <sheetView zoomScaleNormal="100" workbookViewId="0"/>
  </sheetViews>
  <sheetFormatPr baseColWidth="10" defaultColWidth="10.875" defaultRowHeight="15.75"/>
  <cols>
    <col min="1" max="1" width="9.125" style="1" bestFit="1" customWidth="1"/>
    <col min="2" max="2" width="48.375" style="1" bestFit="1" customWidth="1"/>
    <col min="3" max="3" width="3.125" style="1" bestFit="1" customWidth="1"/>
    <col min="4" max="4" width="48.625" style="44" bestFit="1" customWidth="1"/>
    <col min="5" max="5" width="15.5" style="1" customWidth="1"/>
    <col min="6" max="6" width="15.125" style="1" customWidth="1"/>
    <col min="7" max="8" width="15.875" style="17" customWidth="1"/>
    <col min="9" max="9" width="15" style="1" bestFit="1" customWidth="1"/>
    <col min="10" max="10" width="15.125" style="1" customWidth="1"/>
    <col min="11" max="12" width="15.875" style="17" customWidth="1"/>
    <col min="13" max="13" width="15" style="1" bestFit="1" customWidth="1"/>
    <col min="14" max="15" width="15.125" style="1" customWidth="1"/>
    <col min="16" max="16" width="35.625" style="1" bestFit="1" customWidth="1"/>
    <col min="17" max="16384" width="10.875" style="1"/>
  </cols>
  <sheetData>
    <row r="1" spans="1:16">
      <c r="A1" s="23" t="s">
        <v>378</v>
      </c>
    </row>
    <row r="2" spans="1:16">
      <c r="A2" s="23" t="s">
        <v>392</v>
      </c>
    </row>
    <row r="3" spans="1:16">
      <c r="G3" s="83" t="s">
        <v>186</v>
      </c>
      <c r="H3" s="84"/>
      <c r="K3" s="83" t="s">
        <v>186</v>
      </c>
      <c r="L3" s="84"/>
    </row>
    <row r="4" spans="1:16">
      <c r="A4" s="2" t="s">
        <v>0</v>
      </c>
      <c r="B4" s="3" t="s">
        <v>1</v>
      </c>
      <c r="C4" s="3" t="s">
        <v>150</v>
      </c>
      <c r="D4" s="45" t="s">
        <v>127</v>
      </c>
      <c r="E4" s="4" t="s">
        <v>335</v>
      </c>
      <c r="F4" s="18" t="s">
        <v>379</v>
      </c>
      <c r="G4" s="22" t="s">
        <v>184</v>
      </c>
      <c r="H4" s="22" t="s">
        <v>185</v>
      </c>
      <c r="I4" s="4" t="s">
        <v>380</v>
      </c>
      <c r="J4" s="18" t="s">
        <v>393</v>
      </c>
      <c r="K4" s="22" t="s">
        <v>184</v>
      </c>
      <c r="L4" s="22" t="s">
        <v>185</v>
      </c>
      <c r="M4" s="4" t="s">
        <v>394</v>
      </c>
      <c r="N4" s="4" t="s">
        <v>194</v>
      </c>
      <c r="O4" s="4" t="s">
        <v>195</v>
      </c>
      <c r="P4" s="4" t="s">
        <v>312</v>
      </c>
    </row>
    <row r="5" spans="1:16">
      <c r="A5" s="5">
        <v>11051000</v>
      </c>
      <c r="B5" s="5" t="s">
        <v>2</v>
      </c>
      <c r="C5" s="5">
        <v>10</v>
      </c>
      <c r="D5" s="43" t="s">
        <v>123</v>
      </c>
      <c r="E5" s="7">
        <v>7131366</v>
      </c>
      <c r="F5" s="19">
        <v>2365544.44</v>
      </c>
      <c r="G5" s="21"/>
      <c r="H5" s="21"/>
      <c r="I5" s="7">
        <f t="shared" ref="I5:I36" si="0">E5+F5+G5-H5</f>
        <v>9496910.4399999995</v>
      </c>
      <c r="J5" s="19">
        <v>-8866931.2599999998</v>
      </c>
      <c r="K5" s="21"/>
      <c r="L5" s="21"/>
      <c r="M5" s="7">
        <f t="shared" ref="M5:M36" si="1">I5+J5+K5-L5</f>
        <v>629979.1799999997</v>
      </c>
    </row>
    <row r="6" spans="1:16">
      <c r="A6" s="5">
        <v>11100502</v>
      </c>
      <c r="B6" s="5" t="s">
        <v>3</v>
      </c>
      <c r="C6" s="5">
        <v>10</v>
      </c>
      <c r="D6" s="43" t="s">
        <v>123</v>
      </c>
      <c r="E6" s="7">
        <v>430445855</v>
      </c>
      <c r="F6" s="19">
        <v>-364223788.19999999</v>
      </c>
      <c r="G6" s="21"/>
      <c r="H6" s="21"/>
      <c r="I6" s="7">
        <f t="shared" si="0"/>
        <v>66222066.800000012</v>
      </c>
      <c r="J6" s="19">
        <v>697533707.79999995</v>
      </c>
      <c r="K6" s="21"/>
      <c r="L6" s="21"/>
      <c r="M6" s="7">
        <f t="shared" si="1"/>
        <v>763755774.5999999</v>
      </c>
    </row>
    <row r="7" spans="1:16">
      <c r="A7" s="5">
        <v>11200500</v>
      </c>
      <c r="B7" s="5" t="s">
        <v>4</v>
      </c>
      <c r="C7" s="5">
        <v>10</v>
      </c>
      <c r="D7" s="43" t="s">
        <v>123</v>
      </c>
      <c r="E7" s="7">
        <v>0</v>
      </c>
      <c r="F7" s="19">
        <v>0</v>
      </c>
      <c r="G7" s="21"/>
      <c r="H7" s="21"/>
      <c r="I7" s="7">
        <f t="shared" si="0"/>
        <v>0</v>
      </c>
      <c r="J7" s="19">
        <v>1398097.11</v>
      </c>
      <c r="K7" s="21"/>
      <c r="L7" s="21"/>
      <c r="M7" s="7">
        <f t="shared" si="1"/>
        <v>1398097.11</v>
      </c>
    </row>
    <row r="8" spans="1:16">
      <c r="A8" s="5">
        <v>11200501</v>
      </c>
      <c r="B8" s="5" t="s">
        <v>336</v>
      </c>
      <c r="C8" s="5">
        <v>10</v>
      </c>
      <c r="D8" s="43" t="s">
        <v>123</v>
      </c>
      <c r="E8" s="7">
        <v>0</v>
      </c>
      <c r="F8" s="19">
        <v>0</v>
      </c>
      <c r="G8" s="21"/>
      <c r="H8" s="21"/>
      <c r="I8" s="7">
        <f t="shared" si="0"/>
        <v>0</v>
      </c>
      <c r="J8" s="19">
        <v>4357.74</v>
      </c>
      <c r="K8" s="21"/>
      <c r="L8" s="21"/>
      <c r="M8" s="7">
        <f t="shared" si="1"/>
        <v>4357.74</v>
      </c>
    </row>
    <row r="9" spans="1:16">
      <c r="A9" s="5">
        <v>11200502</v>
      </c>
      <c r="B9" s="5" t="s">
        <v>337</v>
      </c>
      <c r="C9" s="5">
        <v>10</v>
      </c>
      <c r="D9" s="43" t="s">
        <v>123</v>
      </c>
      <c r="E9" s="7">
        <v>0</v>
      </c>
      <c r="F9" s="19">
        <v>0</v>
      </c>
      <c r="G9" s="21"/>
      <c r="H9" s="21"/>
      <c r="I9" s="7">
        <f t="shared" si="0"/>
        <v>0</v>
      </c>
      <c r="J9" s="19">
        <v>474695.38</v>
      </c>
      <c r="K9" s="21"/>
      <c r="L9" s="21"/>
      <c r="M9" s="7">
        <f t="shared" si="1"/>
        <v>474695.38</v>
      </c>
    </row>
    <row r="10" spans="1:16">
      <c r="A10" s="5">
        <v>11200503</v>
      </c>
      <c r="B10" s="5" t="s">
        <v>338</v>
      </c>
      <c r="C10" s="5">
        <v>10</v>
      </c>
      <c r="D10" s="43" t="s">
        <v>123</v>
      </c>
      <c r="E10" s="7">
        <v>0</v>
      </c>
      <c r="F10" s="19">
        <v>0</v>
      </c>
      <c r="G10" s="21"/>
      <c r="H10" s="21"/>
      <c r="I10" s="7">
        <f t="shared" si="0"/>
        <v>0</v>
      </c>
      <c r="J10" s="19">
        <v>2197898.94</v>
      </c>
      <c r="K10" s="21"/>
      <c r="L10" s="21"/>
      <c r="M10" s="7">
        <f t="shared" si="1"/>
        <v>2197898.94</v>
      </c>
    </row>
    <row r="11" spans="1:16">
      <c r="A11" s="5">
        <v>11200504</v>
      </c>
      <c r="B11" s="5" t="s">
        <v>339</v>
      </c>
      <c r="C11" s="5">
        <v>10</v>
      </c>
      <c r="D11" s="43" t="s">
        <v>123</v>
      </c>
      <c r="E11" s="7">
        <v>0</v>
      </c>
      <c r="F11" s="19">
        <v>0</v>
      </c>
      <c r="G11" s="21"/>
      <c r="H11" s="21"/>
      <c r="I11" s="7">
        <f t="shared" si="0"/>
        <v>0</v>
      </c>
      <c r="J11" s="19">
        <v>1983409.29</v>
      </c>
      <c r="K11" s="21"/>
      <c r="L11" s="21"/>
      <c r="M11" s="7">
        <f t="shared" si="1"/>
        <v>1983409.29</v>
      </c>
    </row>
    <row r="12" spans="1:16">
      <c r="A12" s="5">
        <v>13050500</v>
      </c>
      <c r="B12" s="5" t="s">
        <v>5</v>
      </c>
      <c r="C12" s="5">
        <v>11</v>
      </c>
      <c r="D12" s="43" t="s">
        <v>124</v>
      </c>
      <c r="E12" s="7">
        <v>949204100.69000006</v>
      </c>
      <c r="F12" s="19">
        <v>1016678786.3200001</v>
      </c>
      <c r="G12" s="21"/>
      <c r="H12" s="21"/>
      <c r="I12" s="7">
        <f t="shared" si="0"/>
        <v>1965882887.0100002</v>
      </c>
      <c r="J12" s="19">
        <v>-176524405.71000001</v>
      </c>
      <c r="K12" s="21"/>
      <c r="L12" s="21"/>
      <c r="M12" s="7">
        <f t="shared" si="1"/>
        <v>1789358481.3000002</v>
      </c>
    </row>
    <row r="13" spans="1:16">
      <c r="A13" s="5">
        <v>13300500</v>
      </c>
      <c r="B13" s="5" t="s">
        <v>6</v>
      </c>
      <c r="C13" s="5">
        <v>12</v>
      </c>
      <c r="D13" s="43" t="s">
        <v>125</v>
      </c>
      <c r="E13" s="7">
        <v>0</v>
      </c>
      <c r="F13" s="19">
        <v>0</v>
      </c>
      <c r="G13" s="21"/>
      <c r="H13" s="21"/>
      <c r="I13" s="7">
        <f t="shared" si="0"/>
        <v>0</v>
      </c>
      <c r="J13" s="19">
        <v>29798151</v>
      </c>
      <c r="K13" s="21"/>
      <c r="L13" s="21"/>
      <c r="M13" s="7">
        <f t="shared" si="1"/>
        <v>29798151</v>
      </c>
    </row>
    <row r="14" spans="1:16">
      <c r="A14" s="5">
        <v>13301500</v>
      </c>
      <c r="B14" s="5" t="s">
        <v>7</v>
      </c>
      <c r="C14" s="5">
        <v>12</v>
      </c>
      <c r="D14" s="43" t="s">
        <v>125</v>
      </c>
      <c r="E14" s="7">
        <v>20136142</v>
      </c>
      <c r="F14" s="19">
        <v>-20136142</v>
      </c>
      <c r="G14" s="21"/>
      <c r="H14" s="21"/>
      <c r="I14" s="7">
        <f t="shared" si="0"/>
        <v>0</v>
      </c>
      <c r="J14" s="19">
        <v>1226278</v>
      </c>
      <c r="K14" s="21"/>
      <c r="L14" s="21"/>
      <c r="M14" s="7">
        <f t="shared" si="1"/>
        <v>1226278</v>
      </c>
    </row>
    <row r="15" spans="1:16">
      <c r="A15" s="5">
        <v>13550501</v>
      </c>
      <c r="B15" s="5" t="s">
        <v>8</v>
      </c>
      <c r="C15" s="5">
        <v>13</v>
      </c>
      <c r="D15" s="43" t="s">
        <v>181</v>
      </c>
      <c r="E15" s="7">
        <v>121343848</v>
      </c>
      <c r="F15" s="19">
        <v>241492327.72999999</v>
      </c>
      <c r="G15" s="21"/>
      <c r="H15" s="21"/>
      <c r="I15" s="7">
        <f t="shared" si="0"/>
        <v>362836175.73000002</v>
      </c>
      <c r="J15" s="19">
        <v>-67313354.930000007</v>
      </c>
      <c r="K15" s="21"/>
      <c r="L15" s="21"/>
      <c r="M15" s="7">
        <f t="shared" si="1"/>
        <v>295522820.80000001</v>
      </c>
    </row>
    <row r="16" spans="1:16">
      <c r="A16" s="5">
        <v>13551800</v>
      </c>
      <c r="B16" s="5" t="s">
        <v>9</v>
      </c>
      <c r="C16" s="5">
        <v>12</v>
      </c>
      <c r="D16" s="43" t="s">
        <v>125</v>
      </c>
      <c r="E16" s="7">
        <v>0</v>
      </c>
      <c r="F16" s="19">
        <v>0</v>
      </c>
      <c r="G16" s="21"/>
      <c r="H16" s="21"/>
      <c r="I16" s="7">
        <f t="shared" si="0"/>
        <v>0</v>
      </c>
      <c r="J16" s="19">
        <v>0</v>
      </c>
      <c r="K16" s="21"/>
      <c r="L16" s="21"/>
      <c r="M16" s="7">
        <f t="shared" si="1"/>
        <v>0</v>
      </c>
    </row>
    <row r="17" spans="1:13">
      <c r="A17" s="5">
        <v>13552000</v>
      </c>
      <c r="B17" s="5" t="s">
        <v>10</v>
      </c>
      <c r="C17" s="5">
        <v>12</v>
      </c>
      <c r="D17" s="43" t="s">
        <v>125</v>
      </c>
      <c r="E17" s="7">
        <v>437579000</v>
      </c>
      <c r="F17" s="19">
        <v>-55215000</v>
      </c>
      <c r="G17" s="21"/>
      <c r="H17" s="21"/>
      <c r="I17" s="7">
        <f t="shared" si="0"/>
        <v>382364000</v>
      </c>
      <c r="J17" s="19">
        <v>-16549000</v>
      </c>
      <c r="K17" s="21"/>
      <c r="L17" s="21"/>
      <c r="M17" s="7">
        <f t="shared" si="1"/>
        <v>365815000</v>
      </c>
    </row>
    <row r="18" spans="1:13">
      <c r="A18" s="5">
        <v>13801500</v>
      </c>
      <c r="B18" s="5" t="s">
        <v>340</v>
      </c>
      <c r="C18" s="5">
        <v>10</v>
      </c>
      <c r="D18" s="43" t="s">
        <v>183</v>
      </c>
      <c r="E18" s="7">
        <v>0</v>
      </c>
      <c r="F18" s="19">
        <v>1031998369.75</v>
      </c>
      <c r="G18" s="21"/>
      <c r="H18" s="21"/>
      <c r="I18" s="7">
        <f t="shared" si="0"/>
        <v>1031998369.75</v>
      </c>
      <c r="J18" s="19">
        <v>-979820396.54999995</v>
      </c>
      <c r="K18" s="21"/>
      <c r="L18" s="21"/>
      <c r="M18" s="7">
        <f t="shared" si="1"/>
        <v>52177973.200000048</v>
      </c>
    </row>
    <row r="19" spans="1:13">
      <c r="A19" s="5">
        <v>13809500</v>
      </c>
      <c r="B19" s="5" t="s">
        <v>341</v>
      </c>
      <c r="C19" s="5">
        <v>12</v>
      </c>
      <c r="D19" s="43" t="s">
        <v>125</v>
      </c>
      <c r="E19" s="7">
        <v>0</v>
      </c>
      <c r="F19" s="19">
        <v>0</v>
      </c>
      <c r="G19" s="21"/>
      <c r="H19" s="21"/>
      <c r="I19" s="7">
        <f t="shared" si="0"/>
        <v>0</v>
      </c>
      <c r="J19" s="19">
        <v>28853863.989999998</v>
      </c>
      <c r="K19" s="21"/>
      <c r="L19" s="21"/>
      <c r="M19" s="7">
        <f t="shared" si="1"/>
        <v>28853863.989999998</v>
      </c>
    </row>
    <row r="20" spans="1:13">
      <c r="A20" s="5">
        <v>14000000</v>
      </c>
      <c r="B20" s="5" t="s">
        <v>342</v>
      </c>
      <c r="C20" s="5">
        <v>14</v>
      </c>
      <c r="D20" s="43" t="s">
        <v>128</v>
      </c>
      <c r="E20" s="7">
        <v>0</v>
      </c>
      <c r="F20" s="19">
        <v>0</v>
      </c>
      <c r="G20" s="21"/>
      <c r="H20" s="21"/>
      <c r="I20" s="7">
        <f t="shared" si="0"/>
        <v>0</v>
      </c>
      <c r="J20" s="19">
        <v>-2881091.5</v>
      </c>
      <c r="K20" s="21"/>
      <c r="L20" s="21"/>
      <c r="M20" s="7">
        <f t="shared" si="1"/>
        <v>-2881091.5</v>
      </c>
    </row>
    <row r="21" spans="1:13">
      <c r="A21" s="5">
        <v>14100100</v>
      </c>
      <c r="B21" s="5" t="s">
        <v>343</v>
      </c>
      <c r="C21" s="5">
        <v>14</v>
      </c>
      <c r="D21" s="43" t="s">
        <v>128</v>
      </c>
      <c r="E21" s="7">
        <v>0</v>
      </c>
      <c r="F21" s="19">
        <v>0</v>
      </c>
      <c r="G21" s="21"/>
      <c r="H21" s="21"/>
      <c r="I21" s="7">
        <f t="shared" si="0"/>
        <v>0</v>
      </c>
      <c r="J21" s="19">
        <v>23984.32</v>
      </c>
      <c r="K21" s="21"/>
      <c r="L21" s="21"/>
      <c r="M21" s="7">
        <f t="shared" si="1"/>
        <v>23984.32</v>
      </c>
    </row>
    <row r="22" spans="1:13">
      <c r="A22" s="5">
        <v>14100101</v>
      </c>
      <c r="B22" s="5" t="s">
        <v>344</v>
      </c>
      <c r="C22" s="5">
        <v>14</v>
      </c>
      <c r="D22" s="43" t="s">
        <v>128</v>
      </c>
      <c r="E22" s="7">
        <v>0</v>
      </c>
      <c r="F22" s="19">
        <v>0</v>
      </c>
      <c r="G22" s="21"/>
      <c r="H22" s="21"/>
      <c r="I22" s="7">
        <f t="shared" si="0"/>
        <v>0</v>
      </c>
      <c r="J22" s="19">
        <v>0</v>
      </c>
      <c r="K22" s="21"/>
      <c r="L22" s="21"/>
      <c r="M22" s="7">
        <f t="shared" si="1"/>
        <v>0</v>
      </c>
    </row>
    <row r="23" spans="1:13">
      <c r="A23" s="5">
        <v>14200001</v>
      </c>
      <c r="B23" s="5" t="s">
        <v>151</v>
      </c>
      <c r="C23" s="5">
        <v>14</v>
      </c>
      <c r="D23" s="43" t="s">
        <v>128</v>
      </c>
      <c r="E23" s="7">
        <v>1264733852</v>
      </c>
      <c r="F23" s="19">
        <v>-714357734</v>
      </c>
      <c r="G23" s="21"/>
      <c r="H23" s="21"/>
      <c r="I23" s="7">
        <f t="shared" si="0"/>
        <v>550376118</v>
      </c>
      <c r="J23" s="19">
        <v>2035305368.7</v>
      </c>
      <c r="K23" s="21"/>
      <c r="L23" s="21"/>
      <c r="M23" s="7">
        <f t="shared" si="1"/>
        <v>2585681486.6999998</v>
      </c>
    </row>
    <row r="24" spans="1:13">
      <c r="A24" s="5">
        <v>14200002</v>
      </c>
      <c r="B24" s="5" t="s">
        <v>11</v>
      </c>
      <c r="C24" s="5">
        <v>14</v>
      </c>
      <c r="D24" s="43" t="s">
        <v>128</v>
      </c>
      <c r="E24" s="7">
        <v>97583258</v>
      </c>
      <c r="F24" s="19">
        <v>98618576.579999998</v>
      </c>
      <c r="G24" s="21"/>
      <c r="H24" s="21"/>
      <c r="I24" s="7">
        <f t="shared" si="0"/>
        <v>196201834.57999998</v>
      </c>
      <c r="J24" s="19">
        <v>-75039338.829999998</v>
      </c>
      <c r="K24" s="21"/>
      <c r="L24" s="21"/>
      <c r="M24" s="7">
        <f t="shared" si="1"/>
        <v>121162495.74999999</v>
      </c>
    </row>
    <row r="25" spans="1:13">
      <c r="A25" s="5">
        <v>14200003</v>
      </c>
      <c r="B25" s="5" t="s">
        <v>152</v>
      </c>
      <c r="C25" s="5">
        <v>14</v>
      </c>
      <c r="D25" s="43" t="s">
        <v>128</v>
      </c>
      <c r="E25" s="7">
        <v>0</v>
      </c>
      <c r="F25" s="19">
        <v>70450856.549999997</v>
      </c>
      <c r="G25" s="21"/>
      <c r="H25" s="21"/>
      <c r="I25" s="7">
        <f t="shared" si="0"/>
        <v>70450856.549999997</v>
      </c>
      <c r="J25" s="19">
        <v>57225560.200000003</v>
      </c>
      <c r="K25" s="21"/>
      <c r="L25" s="21"/>
      <c r="M25" s="7">
        <f t="shared" si="1"/>
        <v>127676416.75</v>
      </c>
    </row>
    <row r="26" spans="1:13">
      <c r="A26" s="5">
        <v>14200004</v>
      </c>
      <c r="B26" s="5" t="s">
        <v>153</v>
      </c>
      <c r="C26" s="5">
        <v>14</v>
      </c>
      <c r="D26" s="43" t="s">
        <v>128</v>
      </c>
      <c r="E26" s="7">
        <v>0</v>
      </c>
      <c r="F26" s="19">
        <v>0</v>
      </c>
      <c r="G26" s="21"/>
      <c r="H26" s="21"/>
      <c r="I26" s="7">
        <f t="shared" si="0"/>
        <v>0</v>
      </c>
      <c r="J26" s="19">
        <v>41882498.609999999</v>
      </c>
      <c r="K26" s="21"/>
      <c r="L26" s="21"/>
      <c r="M26" s="7">
        <f t="shared" si="1"/>
        <v>41882498.609999999</v>
      </c>
    </row>
    <row r="27" spans="1:13">
      <c r="A27" s="5">
        <v>14200005</v>
      </c>
      <c r="B27" s="5" t="s">
        <v>154</v>
      </c>
      <c r="C27" s="5">
        <v>14</v>
      </c>
      <c r="D27" s="43" t="s">
        <v>128</v>
      </c>
      <c r="E27" s="7">
        <v>0</v>
      </c>
      <c r="F27" s="19">
        <v>0</v>
      </c>
      <c r="G27" s="21"/>
      <c r="H27" s="21"/>
      <c r="I27" s="7">
        <f t="shared" si="0"/>
        <v>0</v>
      </c>
      <c r="J27" s="19">
        <v>27284426.899999999</v>
      </c>
      <c r="K27" s="21"/>
      <c r="L27" s="21"/>
      <c r="M27" s="7">
        <f t="shared" si="1"/>
        <v>27284426.899999999</v>
      </c>
    </row>
    <row r="28" spans="1:13">
      <c r="A28" s="5">
        <v>14300500</v>
      </c>
      <c r="B28" s="5" t="s">
        <v>345</v>
      </c>
      <c r="C28" s="5">
        <v>14</v>
      </c>
      <c r="D28" s="43" t="s">
        <v>128</v>
      </c>
      <c r="E28" s="7">
        <v>0</v>
      </c>
      <c r="F28" s="19">
        <v>0</v>
      </c>
      <c r="G28" s="21"/>
      <c r="H28" s="21"/>
      <c r="I28" s="7">
        <f t="shared" si="0"/>
        <v>0</v>
      </c>
      <c r="J28" s="19">
        <v>217407445.02000001</v>
      </c>
      <c r="K28" s="21"/>
      <c r="L28" s="21"/>
      <c r="M28" s="7">
        <f t="shared" si="1"/>
        <v>217407445.02000001</v>
      </c>
    </row>
    <row r="29" spans="1:13">
      <c r="A29" s="5">
        <v>15040000</v>
      </c>
      <c r="B29" s="5" t="s">
        <v>12</v>
      </c>
      <c r="C29" s="5">
        <v>15</v>
      </c>
      <c r="D29" s="43" t="s">
        <v>129</v>
      </c>
      <c r="E29" s="7">
        <v>1694129760</v>
      </c>
      <c r="F29" s="19">
        <v>0</v>
      </c>
      <c r="G29" s="21"/>
      <c r="H29" s="21"/>
      <c r="I29" s="7">
        <f t="shared" si="0"/>
        <v>1694129760</v>
      </c>
      <c r="J29" s="19">
        <v>0</v>
      </c>
      <c r="K29" s="21"/>
      <c r="L29" s="21"/>
      <c r="M29" s="7">
        <f t="shared" si="1"/>
        <v>1694129760</v>
      </c>
    </row>
    <row r="30" spans="1:13">
      <c r="A30" s="9">
        <v>19100400</v>
      </c>
      <c r="B30" s="10" t="s">
        <v>346</v>
      </c>
      <c r="C30" s="10">
        <v>15</v>
      </c>
      <c r="D30" s="46" t="s">
        <v>129</v>
      </c>
      <c r="E30" s="7">
        <v>5956220240</v>
      </c>
      <c r="F30" s="19">
        <v>0</v>
      </c>
      <c r="G30" s="21"/>
      <c r="H30" s="21"/>
      <c r="I30" s="7">
        <f t="shared" si="0"/>
        <v>5956220240</v>
      </c>
      <c r="J30" s="19">
        <v>0</v>
      </c>
      <c r="K30" s="21"/>
      <c r="L30" s="21"/>
      <c r="M30" s="7">
        <f t="shared" si="1"/>
        <v>5956220240</v>
      </c>
    </row>
    <row r="31" spans="1:13">
      <c r="A31" s="5">
        <v>15080000</v>
      </c>
      <c r="B31" s="5" t="s">
        <v>155</v>
      </c>
      <c r="C31" s="5">
        <v>15</v>
      </c>
      <c r="D31" s="43" t="s">
        <v>129</v>
      </c>
      <c r="E31" s="7">
        <v>47656611</v>
      </c>
      <c r="F31" s="19">
        <v>-47656611</v>
      </c>
      <c r="G31" s="21"/>
      <c r="H31" s="21"/>
      <c r="I31" s="7">
        <f t="shared" si="0"/>
        <v>0</v>
      </c>
      <c r="J31" s="19">
        <v>96606601.319999993</v>
      </c>
      <c r="K31" s="21"/>
      <c r="L31" s="21"/>
      <c r="M31" s="7">
        <f t="shared" si="1"/>
        <v>96606601.319999993</v>
      </c>
    </row>
    <row r="32" spans="1:13">
      <c r="A32" s="5">
        <v>15080500</v>
      </c>
      <c r="B32" s="5" t="s">
        <v>13</v>
      </c>
      <c r="C32" s="5">
        <v>15</v>
      </c>
      <c r="D32" s="43" t="s">
        <v>129</v>
      </c>
      <c r="E32" s="7">
        <v>0</v>
      </c>
      <c r="F32" s="19">
        <v>0</v>
      </c>
      <c r="G32" s="21"/>
      <c r="H32" s="21"/>
      <c r="I32" s="7">
        <f t="shared" si="0"/>
        <v>0</v>
      </c>
      <c r="J32" s="19">
        <v>0</v>
      </c>
      <c r="K32" s="21"/>
      <c r="L32" s="21"/>
      <c r="M32" s="7">
        <f t="shared" si="1"/>
        <v>0</v>
      </c>
    </row>
    <row r="33" spans="1:13">
      <c r="A33" s="5">
        <v>15160000</v>
      </c>
      <c r="B33" s="5" t="s">
        <v>14</v>
      </c>
      <c r="C33" s="5">
        <v>15</v>
      </c>
      <c r="D33" s="43" t="s">
        <v>129</v>
      </c>
      <c r="E33" s="7">
        <v>767877669</v>
      </c>
      <c r="F33" s="19">
        <v>-0.2</v>
      </c>
      <c r="G33" s="21"/>
      <c r="H33" s="21"/>
      <c r="I33" s="7">
        <f t="shared" si="0"/>
        <v>767877668.79999995</v>
      </c>
      <c r="J33" s="19">
        <v>0</v>
      </c>
      <c r="K33" s="21"/>
      <c r="L33" s="21"/>
      <c r="M33" s="7">
        <f t="shared" si="1"/>
        <v>767877668.79999995</v>
      </c>
    </row>
    <row r="34" spans="1:13">
      <c r="A34" s="5">
        <v>15161000</v>
      </c>
      <c r="B34" s="5" t="s">
        <v>15</v>
      </c>
      <c r="C34" s="5">
        <v>15</v>
      </c>
      <c r="D34" s="43" t="s">
        <v>129</v>
      </c>
      <c r="E34" s="7">
        <v>7757906220</v>
      </c>
      <c r="F34" s="19">
        <v>0</v>
      </c>
      <c r="G34" s="21"/>
      <c r="H34" s="21"/>
      <c r="I34" s="7">
        <f t="shared" si="0"/>
        <v>7757906220</v>
      </c>
      <c r="J34" s="19">
        <v>0</v>
      </c>
      <c r="K34" s="21"/>
      <c r="L34" s="21"/>
      <c r="M34" s="7">
        <f t="shared" si="1"/>
        <v>7757906220</v>
      </c>
    </row>
    <row r="35" spans="1:13">
      <c r="A35" s="5">
        <v>15162000</v>
      </c>
      <c r="B35" s="5" t="s">
        <v>16</v>
      </c>
      <c r="C35" s="5">
        <v>15</v>
      </c>
      <c r="D35" s="43" t="s">
        <v>129</v>
      </c>
      <c r="E35" s="7">
        <v>719412180</v>
      </c>
      <c r="F35" s="19">
        <v>0</v>
      </c>
      <c r="G35" s="21"/>
      <c r="H35" s="21"/>
      <c r="I35" s="7">
        <f t="shared" si="0"/>
        <v>719412180</v>
      </c>
      <c r="J35" s="19">
        <v>24445958.859999999</v>
      </c>
      <c r="K35" s="21"/>
      <c r="L35" s="21"/>
      <c r="M35" s="7">
        <f t="shared" si="1"/>
        <v>743858138.86000001</v>
      </c>
    </row>
    <row r="36" spans="1:13">
      <c r="A36" s="5">
        <v>15200000</v>
      </c>
      <c r="B36" s="5" t="s">
        <v>17</v>
      </c>
      <c r="C36" s="5">
        <v>15</v>
      </c>
      <c r="D36" s="43" t="s">
        <v>129</v>
      </c>
      <c r="E36" s="7">
        <v>13432270478</v>
      </c>
      <c r="F36" s="19">
        <v>852524793.63</v>
      </c>
      <c r="G36" s="21"/>
      <c r="H36" s="21"/>
      <c r="I36" s="7">
        <f t="shared" si="0"/>
        <v>14284795271.629999</v>
      </c>
      <c r="J36" s="19">
        <v>578272399.53999996</v>
      </c>
      <c r="K36" s="21"/>
      <c r="L36" s="21"/>
      <c r="M36" s="7">
        <f t="shared" si="1"/>
        <v>14863067671.169998</v>
      </c>
    </row>
    <row r="37" spans="1:13">
      <c r="A37" s="5">
        <v>15210000</v>
      </c>
      <c r="B37" s="5" t="s">
        <v>347</v>
      </c>
      <c r="C37" s="5">
        <v>15</v>
      </c>
      <c r="D37" s="43" t="s">
        <v>129</v>
      </c>
      <c r="E37" s="7">
        <v>0</v>
      </c>
      <c r="F37" s="19">
        <v>0</v>
      </c>
      <c r="G37" s="21"/>
      <c r="H37" s="21"/>
      <c r="I37" s="7">
        <f t="shared" ref="I37:I68" si="2">E37+F37+G37-H37</f>
        <v>0</v>
      </c>
      <c r="J37" s="19">
        <v>26369067</v>
      </c>
      <c r="K37" s="21"/>
      <c r="L37" s="21"/>
      <c r="M37" s="7">
        <f t="shared" ref="M37:M68" si="3">I37+J37+K37-L37</f>
        <v>26369067</v>
      </c>
    </row>
    <row r="38" spans="1:13">
      <c r="A38" s="5">
        <v>15240000</v>
      </c>
      <c r="B38" s="5" t="s">
        <v>18</v>
      </c>
      <c r="C38" s="5">
        <v>15</v>
      </c>
      <c r="D38" s="43" t="s">
        <v>129</v>
      </c>
      <c r="E38" s="7">
        <v>40322293</v>
      </c>
      <c r="F38" s="19">
        <v>7731695</v>
      </c>
      <c r="G38" s="21"/>
      <c r="H38" s="21"/>
      <c r="I38" s="7">
        <f t="shared" si="2"/>
        <v>48053988</v>
      </c>
      <c r="J38" s="19">
        <v>0</v>
      </c>
      <c r="K38" s="21"/>
      <c r="L38" s="21"/>
      <c r="M38" s="7">
        <f t="shared" si="3"/>
        <v>48053988</v>
      </c>
    </row>
    <row r="39" spans="1:13">
      <c r="A39" s="5">
        <v>15280000</v>
      </c>
      <c r="B39" s="5" t="s">
        <v>19</v>
      </c>
      <c r="C39" s="5">
        <v>15</v>
      </c>
      <c r="D39" s="43" t="s">
        <v>129</v>
      </c>
      <c r="E39" s="7">
        <v>120981812</v>
      </c>
      <c r="F39" s="19">
        <v>15662828.449999999</v>
      </c>
      <c r="G39" s="21"/>
      <c r="H39" s="21"/>
      <c r="I39" s="7">
        <f t="shared" si="2"/>
        <v>136644640.44999999</v>
      </c>
      <c r="J39" s="19">
        <v>33917199</v>
      </c>
      <c r="K39" s="21"/>
      <c r="L39" s="21"/>
      <c r="M39" s="7">
        <f t="shared" si="3"/>
        <v>170561839.44999999</v>
      </c>
    </row>
    <row r="40" spans="1:13">
      <c r="A40" s="5">
        <v>15400000</v>
      </c>
      <c r="B40" s="5" t="s">
        <v>20</v>
      </c>
      <c r="C40" s="5">
        <v>15</v>
      </c>
      <c r="D40" s="43" t="s">
        <v>129</v>
      </c>
      <c r="E40" s="7">
        <v>2343903438</v>
      </c>
      <c r="F40" s="19">
        <v>124999999.55</v>
      </c>
      <c r="G40" s="21"/>
      <c r="H40" s="21"/>
      <c r="I40" s="7">
        <f t="shared" si="2"/>
        <v>2468903437.5500002</v>
      </c>
      <c r="J40" s="19">
        <v>0</v>
      </c>
      <c r="K40" s="21"/>
      <c r="L40" s="21"/>
      <c r="M40" s="7">
        <f t="shared" si="3"/>
        <v>2468903437.5500002</v>
      </c>
    </row>
    <row r="41" spans="1:13">
      <c r="A41" s="5">
        <v>15920500</v>
      </c>
      <c r="B41" s="5" t="s">
        <v>21</v>
      </c>
      <c r="C41" s="5">
        <v>15</v>
      </c>
      <c r="D41" s="43" t="s">
        <v>129</v>
      </c>
      <c r="E41" s="7">
        <v>-35549892</v>
      </c>
      <c r="F41" s="19">
        <v>-17063948.280000001</v>
      </c>
      <c r="G41" s="21"/>
      <c r="H41" s="21"/>
      <c r="I41" s="7">
        <f t="shared" si="2"/>
        <v>-52613840.280000001</v>
      </c>
      <c r="J41" s="19">
        <v>-17063948.199999999</v>
      </c>
      <c r="K41" s="21"/>
      <c r="L41" s="21"/>
      <c r="M41" s="7">
        <f t="shared" si="3"/>
        <v>-69677788.480000004</v>
      </c>
    </row>
    <row r="42" spans="1:13">
      <c r="A42" s="5">
        <v>15920600</v>
      </c>
      <c r="B42" s="5" t="s">
        <v>22</v>
      </c>
      <c r="C42" s="5">
        <v>15</v>
      </c>
      <c r="D42" s="43" t="s">
        <v>129</v>
      </c>
      <c r="E42" s="7">
        <v>-359162325</v>
      </c>
      <c r="F42" s="19">
        <v>-172397916</v>
      </c>
      <c r="G42" s="21"/>
      <c r="H42" s="21"/>
      <c r="I42" s="7">
        <f t="shared" si="2"/>
        <v>-531560241</v>
      </c>
      <c r="J42" s="19">
        <v>-172397916</v>
      </c>
      <c r="K42" s="21"/>
      <c r="L42" s="21"/>
      <c r="M42" s="7">
        <f t="shared" si="3"/>
        <v>-703958157</v>
      </c>
    </row>
    <row r="43" spans="1:13">
      <c r="A43" s="5">
        <v>15920700</v>
      </c>
      <c r="B43" s="5" t="s">
        <v>23</v>
      </c>
      <c r="C43" s="5">
        <v>15</v>
      </c>
      <c r="D43" s="43" t="s">
        <v>129</v>
      </c>
      <c r="E43" s="7">
        <v>-33306119.239999998</v>
      </c>
      <c r="F43" s="19">
        <v>-15986937.77</v>
      </c>
      <c r="G43" s="21"/>
      <c r="H43" s="21"/>
      <c r="I43" s="7">
        <f t="shared" si="2"/>
        <v>-49293057.009999998</v>
      </c>
      <c r="J43" s="19">
        <v>-16077477.92</v>
      </c>
      <c r="K43" s="21"/>
      <c r="L43" s="21"/>
      <c r="M43" s="7">
        <f t="shared" si="3"/>
        <v>-65370534.93</v>
      </c>
    </row>
    <row r="44" spans="1:13">
      <c r="A44" s="5">
        <v>15921000</v>
      </c>
      <c r="B44" s="5" t="s">
        <v>348</v>
      </c>
      <c r="C44" s="5">
        <v>15</v>
      </c>
      <c r="D44" s="43" t="s">
        <v>129</v>
      </c>
      <c r="E44" s="7">
        <v>-1118537795</v>
      </c>
      <c r="F44" s="19">
        <v>-683784568.14999998</v>
      </c>
      <c r="G44" s="21"/>
      <c r="H44" s="21"/>
      <c r="I44" s="7">
        <f t="shared" si="2"/>
        <v>-1802322363.1500001</v>
      </c>
      <c r="J44" s="19">
        <v>-729723764.16999996</v>
      </c>
      <c r="K44" s="21"/>
      <c r="L44" s="21"/>
      <c r="M44" s="7">
        <f t="shared" si="3"/>
        <v>-2532046127.3200002</v>
      </c>
    </row>
    <row r="45" spans="1:13">
      <c r="A45" s="5">
        <v>15921100</v>
      </c>
      <c r="B45" s="5" t="s">
        <v>349</v>
      </c>
      <c r="C45" s="5">
        <v>15</v>
      </c>
      <c r="D45" s="43" t="s">
        <v>129</v>
      </c>
      <c r="E45" s="7">
        <v>0</v>
      </c>
      <c r="F45" s="19">
        <v>0</v>
      </c>
      <c r="G45" s="21"/>
      <c r="H45" s="21"/>
      <c r="I45" s="7">
        <f t="shared" si="2"/>
        <v>0</v>
      </c>
      <c r="J45" s="19">
        <v>-1114924.8500000001</v>
      </c>
      <c r="K45" s="21"/>
      <c r="L45" s="21"/>
      <c r="M45" s="7">
        <f t="shared" si="3"/>
        <v>-1114924.8500000001</v>
      </c>
    </row>
    <row r="46" spans="1:13">
      <c r="A46" s="5">
        <v>15921500</v>
      </c>
      <c r="B46" s="5" t="s">
        <v>24</v>
      </c>
      <c r="C46" s="5">
        <v>15</v>
      </c>
      <c r="D46" s="43" t="s">
        <v>129</v>
      </c>
      <c r="E46" s="7">
        <v>-10649722</v>
      </c>
      <c r="F46" s="19">
        <v>-4483244.83</v>
      </c>
      <c r="G46" s="21"/>
      <c r="H46" s="21"/>
      <c r="I46" s="7">
        <f t="shared" si="2"/>
        <v>-15132966.83</v>
      </c>
      <c r="J46" s="19">
        <v>-4805398.8</v>
      </c>
      <c r="K46" s="21"/>
      <c r="L46" s="21"/>
      <c r="M46" s="7">
        <f t="shared" si="3"/>
        <v>-19938365.629999999</v>
      </c>
    </row>
    <row r="47" spans="1:13">
      <c r="A47" s="5">
        <v>15922000</v>
      </c>
      <c r="B47" s="5" t="s">
        <v>25</v>
      </c>
      <c r="C47" s="5">
        <v>15</v>
      </c>
      <c r="D47" s="43" t="s">
        <v>129</v>
      </c>
      <c r="E47" s="7">
        <v>-26501240</v>
      </c>
      <c r="F47" s="19">
        <v>-19427101.670000002</v>
      </c>
      <c r="G47" s="21"/>
      <c r="H47" s="21"/>
      <c r="I47" s="7">
        <f t="shared" si="2"/>
        <v>-45928341.670000002</v>
      </c>
      <c r="J47" s="19">
        <v>-22150976.41</v>
      </c>
      <c r="K47" s="21"/>
      <c r="L47" s="21"/>
      <c r="M47" s="7">
        <f t="shared" si="3"/>
        <v>-68079318.079999998</v>
      </c>
    </row>
    <row r="48" spans="1:13">
      <c r="A48" s="5">
        <v>15923500</v>
      </c>
      <c r="B48" s="5" t="s">
        <v>26</v>
      </c>
      <c r="C48" s="5">
        <v>15</v>
      </c>
      <c r="D48" s="43" t="s">
        <v>129</v>
      </c>
      <c r="E48" s="7">
        <v>-752173949</v>
      </c>
      <c r="F48" s="19">
        <v>-236542909.88</v>
      </c>
      <c r="G48" s="21"/>
      <c r="H48" s="21"/>
      <c r="I48" s="7">
        <f t="shared" si="2"/>
        <v>-988716858.88</v>
      </c>
      <c r="J48" s="19">
        <v>-242837353.91999999</v>
      </c>
      <c r="K48" s="21"/>
      <c r="L48" s="21"/>
      <c r="M48" s="7">
        <f t="shared" si="3"/>
        <v>-1231554212.8</v>
      </c>
    </row>
    <row r="49" spans="1:15">
      <c r="A49" s="5">
        <v>16259500</v>
      </c>
      <c r="B49" s="6" t="s">
        <v>350</v>
      </c>
      <c r="C49" s="5">
        <v>16</v>
      </c>
      <c r="D49" s="43" t="s">
        <v>190</v>
      </c>
      <c r="E49" s="7">
        <v>8453242.7300000004</v>
      </c>
      <c r="F49" s="19">
        <v>-7245636.6200000001</v>
      </c>
      <c r="G49" s="21"/>
      <c r="H49" s="21"/>
      <c r="I49" s="7">
        <f t="shared" si="2"/>
        <v>1207606.1100000003</v>
      </c>
      <c r="J49" s="19">
        <v>-1207606.1100000001</v>
      </c>
      <c r="K49" s="21"/>
      <c r="L49" s="21"/>
      <c r="M49" s="7">
        <f t="shared" si="3"/>
        <v>2.3283064365386963E-10</v>
      </c>
    </row>
    <row r="50" spans="1:15">
      <c r="A50" s="5">
        <v>16259501</v>
      </c>
      <c r="B50" s="5" t="s">
        <v>351</v>
      </c>
      <c r="C50" s="5">
        <v>17</v>
      </c>
      <c r="D50" s="43" t="s">
        <v>130</v>
      </c>
      <c r="E50" s="7">
        <v>0</v>
      </c>
      <c r="F50" s="19">
        <v>416249657.66000003</v>
      </c>
      <c r="G50" s="21"/>
      <c r="H50" s="21"/>
      <c r="I50" s="7">
        <f t="shared" si="2"/>
        <v>416249657.66000003</v>
      </c>
      <c r="J50" s="19">
        <v>0</v>
      </c>
      <c r="K50" s="21"/>
      <c r="L50" s="21"/>
      <c r="M50" s="7">
        <f t="shared" si="3"/>
        <v>416249657.66000003</v>
      </c>
    </row>
    <row r="51" spans="1:15">
      <c r="A51" s="5">
        <v>16350100</v>
      </c>
      <c r="B51" s="5" t="s">
        <v>27</v>
      </c>
      <c r="C51" s="5">
        <v>17</v>
      </c>
      <c r="D51" s="43" t="s">
        <v>130</v>
      </c>
      <c r="E51" s="7">
        <v>25822233</v>
      </c>
      <c r="F51" s="19">
        <v>78655308</v>
      </c>
      <c r="G51" s="21"/>
      <c r="H51" s="21"/>
      <c r="I51" s="7">
        <f t="shared" si="2"/>
        <v>104477541</v>
      </c>
      <c r="J51" s="19">
        <v>21103846.199999999</v>
      </c>
      <c r="K51" s="21"/>
      <c r="L51" s="21"/>
      <c r="M51" s="7">
        <f t="shared" si="3"/>
        <v>125581387.2</v>
      </c>
    </row>
    <row r="52" spans="1:15">
      <c r="A52" s="5">
        <v>16983000</v>
      </c>
      <c r="B52" s="5" t="s">
        <v>352</v>
      </c>
      <c r="C52" s="5">
        <v>17</v>
      </c>
      <c r="D52" s="43" t="s">
        <v>130</v>
      </c>
      <c r="E52" s="7">
        <v>0</v>
      </c>
      <c r="F52" s="19">
        <v>0</v>
      </c>
      <c r="G52" s="21"/>
      <c r="H52" s="21"/>
      <c r="I52" s="7">
        <f t="shared" si="2"/>
        <v>0</v>
      </c>
      <c r="J52" s="19">
        <v>0.23</v>
      </c>
      <c r="K52" s="21"/>
      <c r="L52" s="21"/>
      <c r="M52" s="7">
        <f t="shared" si="3"/>
        <v>0.23</v>
      </c>
    </row>
    <row r="53" spans="1:15">
      <c r="A53" s="5">
        <v>16984000</v>
      </c>
      <c r="B53" s="5" t="s">
        <v>28</v>
      </c>
      <c r="C53" s="5">
        <v>17</v>
      </c>
      <c r="D53" s="43" t="s">
        <v>130</v>
      </c>
      <c r="E53" s="7">
        <v>-12037717</v>
      </c>
      <c r="F53" s="19">
        <v>-382708.95</v>
      </c>
      <c r="G53" s="21"/>
      <c r="H53" s="21"/>
      <c r="I53" s="7">
        <f t="shared" si="2"/>
        <v>-12420425.949999999</v>
      </c>
      <c r="J53" s="19">
        <v>-33609889.799999997</v>
      </c>
      <c r="K53" s="21"/>
      <c r="L53" s="21"/>
      <c r="M53" s="7">
        <f t="shared" si="3"/>
        <v>-46030315.75</v>
      </c>
      <c r="N53" s="23"/>
    </row>
    <row r="54" spans="1:15">
      <c r="A54" s="5">
        <v>21051000</v>
      </c>
      <c r="B54" s="5" t="s">
        <v>29</v>
      </c>
      <c r="C54" s="5">
        <v>21</v>
      </c>
      <c r="D54" s="43" t="s">
        <v>132</v>
      </c>
      <c r="E54" s="7">
        <v>-9578896000</v>
      </c>
      <c r="F54" s="19">
        <v>-1300000000</v>
      </c>
      <c r="G54" s="21"/>
      <c r="H54" s="21"/>
      <c r="I54" s="7">
        <f t="shared" si="2"/>
        <v>-10878896000</v>
      </c>
      <c r="J54" s="19">
        <v>0</v>
      </c>
      <c r="K54" s="21"/>
      <c r="L54" s="21"/>
      <c r="M54" s="7">
        <f t="shared" si="3"/>
        <v>-10878896000</v>
      </c>
      <c r="N54" s="23" t="s">
        <v>196</v>
      </c>
    </row>
    <row r="55" spans="1:15">
      <c r="A55" s="5">
        <v>21051001</v>
      </c>
      <c r="B55" s="5" t="s">
        <v>46</v>
      </c>
      <c r="C55" s="5">
        <v>21</v>
      </c>
      <c r="D55" s="43" t="s">
        <v>132</v>
      </c>
      <c r="E55" s="7">
        <v>-47382275</v>
      </c>
      <c r="F55" s="19">
        <v>-16093077.59</v>
      </c>
      <c r="G55" s="21"/>
      <c r="H55" s="21"/>
      <c r="I55" s="7">
        <f t="shared" si="2"/>
        <v>-63475352.590000004</v>
      </c>
      <c r="J55" s="19">
        <v>23486344.039999999</v>
      </c>
      <c r="K55" s="21"/>
      <c r="L55" s="21"/>
      <c r="M55" s="7">
        <f t="shared" si="3"/>
        <v>-39989008.550000004</v>
      </c>
      <c r="N55" s="23" t="s">
        <v>374</v>
      </c>
    </row>
    <row r="56" spans="1:15">
      <c r="A56" s="5">
        <v>21052000</v>
      </c>
      <c r="B56" s="5" t="s">
        <v>30</v>
      </c>
      <c r="C56" s="5">
        <v>21</v>
      </c>
      <c r="D56" s="43" t="s">
        <v>132</v>
      </c>
      <c r="E56" s="7">
        <v>-6070426</v>
      </c>
      <c r="F56" s="19">
        <v>5790414</v>
      </c>
      <c r="G56" s="21"/>
      <c r="H56" s="21"/>
      <c r="I56" s="7">
        <f t="shared" si="2"/>
        <v>-280012</v>
      </c>
      <c r="J56" s="19">
        <v>-122608</v>
      </c>
      <c r="K56" s="21"/>
      <c r="L56" s="21"/>
      <c r="M56" s="7">
        <f t="shared" si="3"/>
        <v>-402620</v>
      </c>
      <c r="N56" s="1">
        <f>ROUND((E55+E56)/1000,0)</f>
        <v>-53453</v>
      </c>
      <c r="O56" s="1">
        <f>ROUND((E54)/1000,0)</f>
        <v>-9578896</v>
      </c>
    </row>
    <row r="57" spans="1:15">
      <c r="A57" s="5">
        <v>21953500</v>
      </c>
      <c r="B57" s="5" t="s">
        <v>353</v>
      </c>
      <c r="C57" s="5">
        <v>21</v>
      </c>
      <c r="D57" s="47" t="s">
        <v>191</v>
      </c>
      <c r="E57" s="7">
        <v>-37774893.869999997</v>
      </c>
      <c r="F57" s="19">
        <v>28235243.579999998</v>
      </c>
      <c r="G57" s="21"/>
      <c r="H57" s="21"/>
      <c r="I57" s="7">
        <f t="shared" si="2"/>
        <v>-9539650.2899999991</v>
      </c>
      <c r="J57" s="19">
        <v>9539650</v>
      </c>
      <c r="K57" s="21"/>
      <c r="L57" s="21"/>
      <c r="M57" s="7">
        <f t="shared" si="3"/>
        <v>-0.28999999910593033</v>
      </c>
      <c r="N57" s="23" t="s">
        <v>382</v>
      </c>
    </row>
    <row r="58" spans="1:15">
      <c r="A58" s="5">
        <v>22100100</v>
      </c>
      <c r="B58" s="5" t="s">
        <v>31</v>
      </c>
      <c r="C58" s="5">
        <v>23</v>
      </c>
      <c r="D58" s="43" t="s">
        <v>133</v>
      </c>
      <c r="E58" s="7">
        <v>-219766879</v>
      </c>
      <c r="F58" s="19">
        <v>95836946.969999999</v>
      </c>
      <c r="G58" s="21"/>
      <c r="H58" s="21"/>
      <c r="I58" s="7">
        <f t="shared" si="2"/>
        <v>-123929932.03</v>
      </c>
      <c r="J58" s="19">
        <v>-11852319.439999999</v>
      </c>
      <c r="K58" s="21"/>
      <c r="L58" s="21"/>
      <c r="M58" s="7">
        <f t="shared" si="3"/>
        <v>-135782251.47</v>
      </c>
      <c r="N58" s="1">
        <f>ROUND((I55+I56)/1000,0)</f>
        <v>-63755</v>
      </c>
      <c r="O58" s="1">
        <f>ROUND((I54)/1000,0)</f>
        <v>-10878896</v>
      </c>
    </row>
    <row r="59" spans="1:15">
      <c r="A59" s="5">
        <v>23359500</v>
      </c>
      <c r="B59" s="5" t="s">
        <v>32</v>
      </c>
      <c r="C59" s="5">
        <v>22</v>
      </c>
      <c r="D59" s="43" t="s">
        <v>136</v>
      </c>
      <c r="E59" s="7">
        <v>-2079134695</v>
      </c>
      <c r="F59" s="19">
        <v>1072417945.5</v>
      </c>
      <c r="G59" s="21"/>
      <c r="H59" s="21"/>
      <c r="I59" s="7">
        <f t="shared" si="2"/>
        <v>-1006716749.5</v>
      </c>
      <c r="J59" s="19">
        <v>-709991168.82000005</v>
      </c>
      <c r="K59" s="21"/>
      <c r="L59" s="21"/>
      <c r="M59" s="7">
        <f t="shared" si="3"/>
        <v>-1716707918.3200002</v>
      </c>
      <c r="N59" s="23" t="s">
        <v>396</v>
      </c>
    </row>
    <row r="60" spans="1:15">
      <c r="A60" s="5">
        <v>23550500</v>
      </c>
      <c r="B60" s="5" t="s">
        <v>354</v>
      </c>
      <c r="C60" s="5">
        <v>23</v>
      </c>
      <c r="D60" s="43" t="s">
        <v>133</v>
      </c>
      <c r="E60" s="7">
        <v>0</v>
      </c>
      <c r="F60" s="19">
        <v>-393256800</v>
      </c>
      <c r="G60" s="21"/>
      <c r="H60" s="21"/>
      <c r="I60" s="7">
        <f t="shared" si="2"/>
        <v>-393256800</v>
      </c>
      <c r="J60" s="19">
        <v>393256799.99000001</v>
      </c>
      <c r="K60" s="21"/>
      <c r="L60" s="21"/>
      <c r="M60" s="7">
        <f t="shared" si="3"/>
        <v>-9.9999904632568359E-3</v>
      </c>
      <c r="N60" s="1">
        <f>ROUND((M55+M56)/1000,0)</f>
        <v>-40392</v>
      </c>
      <c r="O60" s="1">
        <f>ROUND((M54)/1000,0)</f>
        <v>-10878896</v>
      </c>
    </row>
    <row r="61" spans="1:15">
      <c r="A61" s="5">
        <v>23650500</v>
      </c>
      <c r="B61" s="5" t="s">
        <v>33</v>
      </c>
      <c r="C61" s="5">
        <v>22</v>
      </c>
      <c r="D61" s="43" t="s">
        <v>136</v>
      </c>
      <c r="E61" s="7">
        <v>-6995000</v>
      </c>
      <c r="F61" s="19">
        <v>-3000</v>
      </c>
      <c r="G61" s="21"/>
      <c r="H61" s="21"/>
      <c r="I61" s="7">
        <f t="shared" si="2"/>
        <v>-6998000</v>
      </c>
      <c r="J61" s="19">
        <v>-1230000</v>
      </c>
      <c r="K61" s="21"/>
      <c r="L61" s="21"/>
      <c r="M61" s="7">
        <f t="shared" si="3"/>
        <v>-8228000</v>
      </c>
    </row>
    <row r="62" spans="1:15">
      <c r="A62" s="5">
        <v>23654000</v>
      </c>
      <c r="B62" s="5" t="s">
        <v>34</v>
      </c>
      <c r="C62" s="5">
        <v>22</v>
      </c>
      <c r="D62" s="43" t="s">
        <v>136</v>
      </c>
      <c r="E62" s="7">
        <v>-15469303</v>
      </c>
      <c r="F62" s="19">
        <v>8428863.6400000006</v>
      </c>
      <c r="G62" s="21"/>
      <c r="H62" s="21"/>
      <c r="I62" s="7">
        <f t="shared" si="2"/>
        <v>-7040439.3599999994</v>
      </c>
      <c r="J62" s="19">
        <v>-11739831.039999999</v>
      </c>
      <c r="K62" s="21"/>
      <c r="L62" s="21"/>
      <c r="M62" s="7">
        <f t="shared" si="3"/>
        <v>-18780270.399999999</v>
      </c>
      <c r="N62" s="23" t="s">
        <v>303</v>
      </c>
    </row>
    <row r="63" spans="1:15">
      <c r="A63" s="5">
        <v>23657001</v>
      </c>
      <c r="B63" s="5" t="s">
        <v>35</v>
      </c>
      <c r="C63" s="5">
        <v>22</v>
      </c>
      <c r="D63" s="43" t="s">
        <v>136</v>
      </c>
      <c r="E63" s="7">
        <v>-6572991</v>
      </c>
      <c r="F63" s="19">
        <v>248723</v>
      </c>
      <c r="G63" s="21"/>
      <c r="H63" s="21"/>
      <c r="I63" s="7">
        <f t="shared" si="2"/>
        <v>-6324268</v>
      </c>
      <c r="J63" s="19">
        <v>-3629318</v>
      </c>
      <c r="K63" s="21"/>
      <c r="L63" s="21"/>
      <c r="M63" s="7">
        <f t="shared" si="3"/>
        <v>-9953586</v>
      </c>
      <c r="N63" s="23" t="s">
        <v>397</v>
      </c>
    </row>
    <row r="64" spans="1:15">
      <c r="A64" s="5">
        <v>23670100</v>
      </c>
      <c r="B64" s="5" t="s">
        <v>36</v>
      </c>
      <c r="C64" s="5">
        <v>22</v>
      </c>
      <c r="D64" s="43" t="s">
        <v>136</v>
      </c>
      <c r="E64" s="7">
        <v>-249670</v>
      </c>
      <c r="F64" s="19">
        <v>249670</v>
      </c>
      <c r="G64" s="21"/>
      <c r="H64" s="21"/>
      <c r="I64" s="7">
        <f t="shared" si="2"/>
        <v>0</v>
      </c>
      <c r="J64" s="19">
        <v>-2160847.7400000002</v>
      </c>
      <c r="K64" s="21"/>
      <c r="L64" s="21"/>
      <c r="M64" s="7">
        <f t="shared" si="3"/>
        <v>-2160847.7400000002</v>
      </c>
      <c r="N64" s="1">
        <v>-4083</v>
      </c>
      <c r="O64" s="1">
        <v>-37775</v>
      </c>
    </row>
    <row r="65" spans="1:15">
      <c r="A65" s="5">
        <v>23680100</v>
      </c>
      <c r="B65" s="5" t="s">
        <v>37</v>
      </c>
      <c r="C65" s="5">
        <v>22</v>
      </c>
      <c r="D65" s="43" t="s">
        <v>136</v>
      </c>
      <c r="E65" s="7">
        <v>-3718420</v>
      </c>
      <c r="F65" s="19">
        <v>1992138.3</v>
      </c>
      <c r="G65" s="21"/>
      <c r="H65" s="21"/>
      <c r="I65" s="7">
        <f t="shared" si="2"/>
        <v>-1726281.7</v>
      </c>
      <c r="J65" s="19">
        <v>-783154.88</v>
      </c>
      <c r="K65" s="21"/>
      <c r="L65" s="21"/>
      <c r="M65" s="7">
        <f t="shared" si="3"/>
        <v>-2509436.58</v>
      </c>
      <c r="N65" s="23" t="s">
        <v>374</v>
      </c>
    </row>
    <row r="66" spans="1:15">
      <c r="A66" s="5">
        <v>23680101</v>
      </c>
      <c r="B66" s="5" t="s">
        <v>156</v>
      </c>
      <c r="C66" s="5">
        <v>22</v>
      </c>
      <c r="D66" s="43" t="s">
        <v>136</v>
      </c>
      <c r="E66" s="7">
        <v>-152250</v>
      </c>
      <c r="F66" s="19">
        <v>152250</v>
      </c>
      <c r="G66" s="21"/>
      <c r="H66" s="21"/>
      <c r="I66" s="7">
        <f t="shared" si="2"/>
        <v>0</v>
      </c>
      <c r="J66" s="19">
        <v>0</v>
      </c>
      <c r="K66" s="21"/>
      <c r="L66" s="21"/>
      <c r="M66" s="7">
        <f t="shared" si="3"/>
        <v>0</v>
      </c>
      <c r="N66" s="1">
        <v>-28235</v>
      </c>
      <c r="O66" s="1">
        <v>-9540</v>
      </c>
    </row>
    <row r="67" spans="1:15">
      <c r="A67" s="5">
        <v>23700500</v>
      </c>
      <c r="B67" s="5" t="s">
        <v>38</v>
      </c>
      <c r="C67" s="5">
        <v>22</v>
      </c>
      <c r="D67" s="43" t="s">
        <v>136</v>
      </c>
      <c r="E67" s="7">
        <v>-12908000</v>
      </c>
      <c r="F67" s="19">
        <v>2961700</v>
      </c>
      <c r="G67" s="21"/>
      <c r="H67" s="21"/>
      <c r="I67" s="7">
        <f t="shared" si="2"/>
        <v>-9946300</v>
      </c>
      <c r="J67" s="19">
        <v>-5344939</v>
      </c>
      <c r="K67" s="21"/>
      <c r="L67" s="21"/>
      <c r="M67" s="7">
        <f t="shared" si="3"/>
        <v>-15291239</v>
      </c>
      <c r="N67" s="23" t="s">
        <v>382</v>
      </c>
    </row>
    <row r="68" spans="1:15">
      <c r="A68" s="5">
        <v>23700600</v>
      </c>
      <c r="B68" s="5" t="s">
        <v>39</v>
      </c>
      <c r="C68" s="5">
        <v>22</v>
      </c>
      <c r="D68" s="43" t="s">
        <v>136</v>
      </c>
      <c r="E68" s="7">
        <v>-13225500</v>
      </c>
      <c r="F68" s="19">
        <v>2879200</v>
      </c>
      <c r="G68" s="21"/>
      <c r="H68" s="21"/>
      <c r="I68" s="7">
        <f t="shared" si="2"/>
        <v>-10346300</v>
      </c>
      <c r="J68" s="19">
        <v>-7556299</v>
      </c>
      <c r="K68" s="21"/>
      <c r="L68" s="21"/>
      <c r="M68" s="7">
        <f t="shared" si="3"/>
        <v>-17902599</v>
      </c>
      <c r="N68" s="1">
        <v>-9540</v>
      </c>
      <c r="O68" s="1">
        <v>0</v>
      </c>
    </row>
    <row r="69" spans="1:15">
      <c r="A69" s="5">
        <v>23701000</v>
      </c>
      <c r="B69" s="5" t="s">
        <v>40</v>
      </c>
      <c r="C69" s="5">
        <v>22</v>
      </c>
      <c r="D69" s="43" t="s">
        <v>136</v>
      </c>
      <c r="E69" s="7">
        <v>-11215400</v>
      </c>
      <c r="F69" s="19">
        <v>2428800</v>
      </c>
      <c r="G69" s="21"/>
      <c r="H69" s="21"/>
      <c r="I69" s="7">
        <f t="shared" ref="I69:I90" si="4">E69+F69+G69-H69</f>
        <v>-8786600</v>
      </c>
      <c r="J69" s="19">
        <v>-5272683</v>
      </c>
      <c r="K69" s="21"/>
      <c r="L69" s="21"/>
      <c r="M69" s="7">
        <f t="shared" ref="M69:M90" si="5">I69+J69+K69-L69</f>
        <v>-14059283</v>
      </c>
      <c r="N69" s="23" t="s">
        <v>396</v>
      </c>
    </row>
    <row r="70" spans="1:15">
      <c r="A70" s="5">
        <v>23702500</v>
      </c>
      <c r="B70" s="5" t="s">
        <v>355</v>
      </c>
      <c r="C70" s="5">
        <v>22</v>
      </c>
      <c r="D70" s="43" t="s">
        <v>136</v>
      </c>
      <c r="E70" s="7">
        <v>0</v>
      </c>
      <c r="F70" s="19">
        <v>-1240532</v>
      </c>
      <c r="G70" s="21"/>
      <c r="H70" s="21"/>
      <c r="I70" s="7">
        <f t="shared" si="4"/>
        <v>-1240532</v>
      </c>
      <c r="J70" s="19">
        <v>1240532</v>
      </c>
      <c r="K70" s="21"/>
      <c r="L70" s="21"/>
      <c r="M70" s="7">
        <f t="shared" si="5"/>
        <v>0</v>
      </c>
      <c r="N70" s="1">
        <v>0</v>
      </c>
      <c r="O70" s="1">
        <v>0</v>
      </c>
    </row>
    <row r="71" spans="1:15">
      <c r="A71" s="5">
        <v>23704500</v>
      </c>
      <c r="B71" s="5" t="s">
        <v>356</v>
      </c>
      <c r="C71" s="5">
        <v>22</v>
      </c>
      <c r="D71" s="43" t="s">
        <v>136</v>
      </c>
      <c r="E71" s="7">
        <v>0</v>
      </c>
      <c r="F71" s="19">
        <v>-5070000</v>
      </c>
      <c r="G71" s="21"/>
      <c r="H71" s="21"/>
      <c r="I71" s="7">
        <f t="shared" si="4"/>
        <v>-5070000</v>
      </c>
      <c r="J71" s="19">
        <v>5070000</v>
      </c>
      <c r="K71" s="21"/>
      <c r="L71" s="21"/>
      <c r="M71" s="7">
        <f t="shared" si="5"/>
        <v>0</v>
      </c>
    </row>
    <row r="72" spans="1:15">
      <c r="A72" s="5">
        <v>23803000</v>
      </c>
      <c r="B72" s="5" t="s">
        <v>41</v>
      </c>
      <c r="C72" s="5">
        <v>22</v>
      </c>
      <c r="D72" s="43" t="s">
        <v>136</v>
      </c>
      <c r="E72" s="7">
        <v>-37083500</v>
      </c>
      <c r="F72" s="19">
        <v>8643700</v>
      </c>
      <c r="G72" s="21"/>
      <c r="H72" s="21"/>
      <c r="I72" s="7">
        <f t="shared" si="4"/>
        <v>-28439800</v>
      </c>
      <c r="J72" s="19">
        <v>-68692763</v>
      </c>
      <c r="K72" s="21"/>
      <c r="L72" s="21"/>
      <c r="M72" s="7">
        <f t="shared" si="5"/>
        <v>-97132563</v>
      </c>
    </row>
    <row r="73" spans="1:15">
      <c r="A73" s="5">
        <v>24040500</v>
      </c>
      <c r="B73" s="5" t="s">
        <v>42</v>
      </c>
      <c r="C73" s="5">
        <v>24</v>
      </c>
      <c r="D73" s="43" t="s">
        <v>126</v>
      </c>
      <c r="E73" s="7">
        <v>0</v>
      </c>
      <c r="F73" s="19">
        <v>0</v>
      </c>
      <c r="G73" s="21"/>
      <c r="H73" s="21"/>
      <c r="I73" s="7">
        <f t="shared" si="4"/>
        <v>0</v>
      </c>
      <c r="J73" s="19">
        <v>0</v>
      </c>
      <c r="K73" s="21"/>
      <c r="L73" s="21"/>
      <c r="M73" s="7">
        <f t="shared" si="5"/>
        <v>0</v>
      </c>
      <c r="N73" s="23"/>
    </row>
    <row r="74" spans="1:15">
      <c r="A74" s="5">
        <v>24080100</v>
      </c>
      <c r="B74" s="5" t="s">
        <v>43</v>
      </c>
      <c r="C74" s="5">
        <v>22</v>
      </c>
      <c r="D74" s="43" t="s">
        <v>136</v>
      </c>
      <c r="E74" s="7">
        <v>0</v>
      </c>
      <c r="F74" s="19">
        <v>0</v>
      </c>
      <c r="G74" s="21"/>
      <c r="H74" s="21"/>
      <c r="I74" s="7">
        <f t="shared" si="4"/>
        <v>0</v>
      </c>
      <c r="J74" s="19">
        <v>0.97</v>
      </c>
      <c r="K74" s="21"/>
      <c r="L74" s="21"/>
      <c r="M74" s="7">
        <f t="shared" si="5"/>
        <v>0.97</v>
      </c>
      <c r="N74" s="23" t="s">
        <v>197</v>
      </c>
    </row>
    <row r="75" spans="1:15">
      <c r="A75" s="5">
        <v>24120500</v>
      </c>
      <c r="B75" s="5" t="s">
        <v>157</v>
      </c>
      <c r="C75" s="5">
        <v>22</v>
      </c>
      <c r="D75" s="43" t="s">
        <v>136</v>
      </c>
      <c r="E75" s="7">
        <v>0</v>
      </c>
      <c r="F75" s="19">
        <v>0</v>
      </c>
      <c r="G75" s="21"/>
      <c r="H75" s="21"/>
      <c r="I75" s="7">
        <f t="shared" si="4"/>
        <v>0</v>
      </c>
      <c r="J75" s="19">
        <v>0</v>
      </c>
      <c r="K75" s="21"/>
      <c r="L75" s="21"/>
      <c r="M75" s="7">
        <f t="shared" si="5"/>
        <v>0</v>
      </c>
      <c r="N75" s="23" t="s">
        <v>374</v>
      </c>
    </row>
    <row r="76" spans="1:15">
      <c r="A76" s="5">
        <v>25050100</v>
      </c>
      <c r="B76" s="5" t="s">
        <v>44</v>
      </c>
      <c r="C76" s="5">
        <v>22</v>
      </c>
      <c r="D76" s="43" t="s">
        <v>136</v>
      </c>
      <c r="E76" s="7">
        <v>-397857</v>
      </c>
      <c r="F76" s="19">
        <v>397857</v>
      </c>
      <c r="G76" s="21"/>
      <c r="H76" s="21"/>
      <c r="I76" s="7">
        <f t="shared" si="4"/>
        <v>0</v>
      </c>
      <c r="J76" s="19">
        <v>23.1</v>
      </c>
      <c r="K76" s="21"/>
      <c r="L76" s="21"/>
      <c r="M76" s="7">
        <f t="shared" si="5"/>
        <v>23.1</v>
      </c>
      <c r="N76" s="1">
        <f>ROUND((SUM(E59,E61:E72,E74:E77,E79:E83))/1000,0)-O76</f>
        <v>-2336145</v>
      </c>
      <c r="O76" s="1">
        <v>0</v>
      </c>
    </row>
    <row r="77" spans="1:15">
      <c r="A77" s="5">
        <v>25400100</v>
      </c>
      <c r="B77" s="5" t="s">
        <v>45</v>
      </c>
      <c r="C77" s="5">
        <v>22</v>
      </c>
      <c r="D77" s="43" t="s">
        <v>136</v>
      </c>
      <c r="E77" s="7">
        <v>0</v>
      </c>
      <c r="F77" s="19">
        <v>0</v>
      </c>
      <c r="G77" s="21"/>
      <c r="H77" s="21"/>
      <c r="I77" s="7">
        <f t="shared" si="4"/>
        <v>0</v>
      </c>
      <c r="J77" s="19">
        <v>0</v>
      </c>
      <c r="K77" s="21"/>
      <c r="L77" s="21"/>
      <c r="M77" s="7">
        <f t="shared" si="5"/>
        <v>0</v>
      </c>
      <c r="N77" s="23" t="s">
        <v>382</v>
      </c>
    </row>
    <row r="78" spans="1:15">
      <c r="A78" s="5">
        <v>26050500</v>
      </c>
      <c r="B78" s="5" t="s">
        <v>46</v>
      </c>
      <c r="C78" s="5">
        <v>21</v>
      </c>
      <c r="D78" s="43" t="s">
        <v>132</v>
      </c>
      <c r="E78" s="7">
        <v>0</v>
      </c>
      <c r="F78" s="19">
        <v>0</v>
      </c>
      <c r="G78" s="21"/>
      <c r="H78" s="21"/>
      <c r="I78" s="7">
        <f t="shared" si="4"/>
        <v>0</v>
      </c>
      <c r="J78" s="19">
        <v>0</v>
      </c>
      <c r="K78" s="21"/>
      <c r="L78" s="21"/>
      <c r="M78" s="7">
        <f t="shared" si="5"/>
        <v>0</v>
      </c>
      <c r="N78" s="1">
        <f>ROUND((SUM(I59,I61:I72,I74:I77,I79:I83)/1000),0)</f>
        <v>-1338298</v>
      </c>
      <c r="O78" s="1">
        <v>0</v>
      </c>
    </row>
    <row r="79" spans="1:15">
      <c r="A79" s="5">
        <v>26059500</v>
      </c>
      <c r="B79" s="5" t="s">
        <v>357</v>
      </c>
      <c r="C79" s="5">
        <v>22</v>
      </c>
      <c r="D79" s="43" t="s">
        <v>136</v>
      </c>
      <c r="E79" s="7">
        <v>-15906082</v>
      </c>
      <c r="F79" s="19">
        <v>4769160</v>
      </c>
      <c r="G79" s="21"/>
      <c r="H79" s="21"/>
      <c r="I79" s="7">
        <f t="shared" si="4"/>
        <v>-11136922</v>
      </c>
      <c r="J79" s="19">
        <v>8404577.1600000001</v>
      </c>
      <c r="K79" s="21"/>
      <c r="L79" s="21"/>
      <c r="M79" s="7">
        <f t="shared" si="5"/>
        <v>-2732344.84</v>
      </c>
      <c r="N79" s="23" t="s">
        <v>396</v>
      </c>
    </row>
    <row r="80" spans="1:15">
      <c r="A80" s="5">
        <v>26100500</v>
      </c>
      <c r="B80" s="5" t="s">
        <v>47</v>
      </c>
      <c r="C80" s="5">
        <v>22</v>
      </c>
      <c r="D80" s="43" t="s">
        <v>136</v>
      </c>
      <c r="E80" s="7">
        <v>-84423728</v>
      </c>
      <c r="F80" s="19">
        <v>-56787029</v>
      </c>
      <c r="G80" s="21"/>
      <c r="H80" s="21"/>
      <c r="I80" s="7">
        <f t="shared" si="4"/>
        <v>-141210757</v>
      </c>
      <c r="J80" s="19">
        <v>-48084901</v>
      </c>
      <c r="K80" s="21"/>
      <c r="L80" s="21"/>
      <c r="M80" s="7">
        <f t="shared" si="5"/>
        <v>-189295658</v>
      </c>
      <c r="N80" s="1">
        <f>ROUND((SUM(M59,M61:M72,M74:M77,M79:M83)/1000),0)</f>
        <v>-2222593</v>
      </c>
      <c r="O80" s="1">
        <v>0</v>
      </c>
    </row>
    <row r="81" spans="1:13">
      <c r="A81" s="5">
        <v>26101500</v>
      </c>
      <c r="B81" s="5" t="s">
        <v>48</v>
      </c>
      <c r="C81" s="5">
        <v>22</v>
      </c>
      <c r="D81" s="43" t="s">
        <v>136</v>
      </c>
      <c r="E81" s="7">
        <v>-48629554</v>
      </c>
      <c r="F81" s="19">
        <v>-44195916.689999998</v>
      </c>
      <c r="G81" s="21"/>
      <c r="H81" s="21"/>
      <c r="I81" s="7">
        <f t="shared" si="4"/>
        <v>-92825470.689999998</v>
      </c>
      <c r="J81" s="19">
        <v>-33359920</v>
      </c>
      <c r="K81" s="21"/>
      <c r="L81" s="21"/>
      <c r="M81" s="7">
        <f t="shared" si="5"/>
        <v>-126185390.69</v>
      </c>
    </row>
    <row r="82" spans="1:13">
      <c r="A82" s="5">
        <v>26102000</v>
      </c>
      <c r="B82" s="5" t="s">
        <v>49</v>
      </c>
      <c r="C82" s="5">
        <v>22</v>
      </c>
      <c r="D82" s="43" t="s">
        <v>136</v>
      </c>
      <c r="E82" s="7">
        <v>0</v>
      </c>
      <c r="F82" s="19">
        <v>0</v>
      </c>
      <c r="G82" s="21"/>
      <c r="H82" s="21"/>
      <c r="I82" s="7">
        <f t="shared" si="4"/>
        <v>0</v>
      </c>
      <c r="J82" s="19">
        <v>0</v>
      </c>
      <c r="K82" s="21"/>
      <c r="L82" s="21"/>
      <c r="M82" s="7">
        <f t="shared" si="5"/>
        <v>0</v>
      </c>
    </row>
    <row r="83" spans="1:13">
      <c r="A83" s="5">
        <v>26109500</v>
      </c>
      <c r="B83" s="5" t="s">
        <v>50</v>
      </c>
      <c r="C83" s="5">
        <v>22</v>
      </c>
      <c r="D83" s="43" t="s">
        <v>136</v>
      </c>
      <c r="E83" s="7">
        <v>-62748</v>
      </c>
      <c r="F83" s="19">
        <v>-427096</v>
      </c>
      <c r="G83" s="21"/>
      <c r="H83" s="21"/>
      <c r="I83" s="7">
        <f t="shared" si="4"/>
        <v>-489844</v>
      </c>
      <c r="J83" s="19">
        <v>-1164276</v>
      </c>
      <c r="K83" s="21"/>
      <c r="L83" s="21"/>
      <c r="M83" s="7">
        <f t="shared" si="5"/>
        <v>-1654120</v>
      </c>
    </row>
    <row r="84" spans="1:13">
      <c r="A84" s="9">
        <v>27259500</v>
      </c>
      <c r="B84" s="10" t="s">
        <v>358</v>
      </c>
      <c r="C84" s="10">
        <v>29</v>
      </c>
      <c r="D84" s="10" t="s">
        <v>51</v>
      </c>
      <c r="E84" s="7">
        <v>-595622024</v>
      </c>
      <c r="F84" s="19">
        <v>0</v>
      </c>
      <c r="G84" s="21"/>
      <c r="H84" s="21"/>
      <c r="I84" s="7">
        <f t="shared" si="4"/>
        <v>-595622024</v>
      </c>
      <c r="J84" s="19">
        <v>0</v>
      </c>
      <c r="K84" s="21"/>
      <c r="L84" s="21"/>
      <c r="M84" s="7">
        <f t="shared" si="5"/>
        <v>-595622024</v>
      </c>
    </row>
    <row r="85" spans="1:13">
      <c r="A85" s="5">
        <v>28050500</v>
      </c>
      <c r="B85" s="5" t="s">
        <v>52</v>
      </c>
      <c r="C85" s="5">
        <v>28</v>
      </c>
      <c r="D85" s="43" t="s">
        <v>135</v>
      </c>
      <c r="E85" s="7">
        <v>-1172511485</v>
      </c>
      <c r="F85" s="19">
        <v>242357087.59</v>
      </c>
      <c r="G85" s="21"/>
      <c r="H85" s="21"/>
      <c r="I85" s="7">
        <f t="shared" si="4"/>
        <v>-930154397.40999997</v>
      </c>
      <c r="J85" s="19">
        <v>-401977841.67000002</v>
      </c>
      <c r="K85" s="21"/>
      <c r="L85" s="21"/>
      <c r="M85" s="7">
        <f t="shared" si="5"/>
        <v>-1332132239.0799999</v>
      </c>
    </row>
    <row r="86" spans="1:13">
      <c r="A86" s="5">
        <v>31050500</v>
      </c>
      <c r="B86" s="5" t="s">
        <v>53</v>
      </c>
      <c r="C86" s="5">
        <v>31</v>
      </c>
      <c r="D86" s="43" t="s">
        <v>137</v>
      </c>
      <c r="E86" s="7">
        <v>-27116624669</v>
      </c>
      <c r="F86" s="19">
        <v>-5365134386.2600002</v>
      </c>
      <c r="G86" s="21"/>
      <c r="H86" s="21"/>
      <c r="I86" s="7">
        <f t="shared" si="4"/>
        <v>-32481759055.260002</v>
      </c>
      <c r="J86" s="19">
        <v>0</v>
      </c>
      <c r="K86" s="21"/>
      <c r="L86" s="21"/>
      <c r="M86" s="7">
        <f t="shared" si="5"/>
        <v>-32481759055.260002</v>
      </c>
    </row>
    <row r="87" spans="1:13">
      <c r="A87" s="5">
        <v>31050501</v>
      </c>
      <c r="B87" s="5" t="s">
        <v>54</v>
      </c>
      <c r="C87" s="5">
        <v>32</v>
      </c>
      <c r="D87" s="43" t="s">
        <v>137</v>
      </c>
      <c r="E87" s="7">
        <v>-1692516101</v>
      </c>
      <c r="F87" s="19">
        <v>1692334386</v>
      </c>
      <c r="G87" s="21"/>
      <c r="H87" s="21"/>
      <c r="I87" s="7">
        <f t="shared" si="4"/>
        <v>-181715</v>
      </c>
      <c r="J87" s="19">
        <v>0</v>
      </c>
      <c r="K87" s="21"/>
      <c r="L87" s="21"/>
      <c r="M87" s="7">
        <f t="shared" si="5"/>
        <v>-181715</v>
      </c>
    </row>
    <row r="88" spans="1:13">
      <c r="A88" s="5">
        <v>37100100</v>
      </c>
      <c r="B88" s="5" t="s">
        <v>359</v>
      </c>
      <c r="C88" s="5">
        <v>37</v>
      </c>
      <c r="D88" s="43" t="s">
        <v>138</v>
      </c>
      <c r="E88" s="7">
        <v>14230795912.620001</v>
      </c>
      <c r="F88" s="19">
        <v>2413559255.8499999</v>
      </c>
      <c r="G88" s="21"/>
      <c r="H88" s="21"/>
      <c r="I88" s="7">
        <f t="shared" si="4"/>
        <v>16644355168.470001</v>
      </c>
      <c r="J88" s="19">
        <v>-483366096.86000001</v>
      </c>
      <c r="K88" s="21"/>
      <c r="L88" s="21"/>
      <c r="M88" s="7">
        <f t="shared" si="5"/>
        <v>16160989071.610001</v>
      </c>
    </row>
    <row r="89" spans="1:13">
      <c r="A89" s="5">
        <v>37100101</v>
      </c>
      <c r="B89" s="5" t="s">
        <v>158</v>
      </c>
      <c r="C89" s="5">
        <v>38</v>
      </c>
      <c r="D89" s="43" t="s">
        <v>140</v>
      </c>
      <c r="E89" s="7">
        <v>-5322681300.9300003</v>
      </c>
      <c r="F89" s="19">
        <v>0</v>
      </c>
      <c r="G89" s="21"/>
      <c r="H89" s="21"/>
      <c r="I89" s="7">
        <f t="shared" si="4"/>
        <v>-5322681300.9300003</v>
      </c>
      <c r="J89" s="19">
        <v>0</v>
      </c>
      <c r="K89" s="21"/>
      <c r="L89" s="21"/>
      <c r="M89" s="7">
        <f t="shared" si="5"/>
        <v>-5322681300.9300003</v>
      </c>
    </row>
    <row r="90" spans="1:13">
      <c r="A90" s="9">
        <v>38100400</v>
      </c>
      <c r="B90" s="10" t="s">
        <v>360</v>
      </c>
      <c r="C90" s="10">
        <v>39</v>
      </c>
      <c r="D90" s="10" t="s">
        <v>139</v>
      </c>
      <c r="E90" s="7">
        <v>0</v>
      </c>
      <c r="F90" s="19">
        <v>0</v>
      </c>
      <c r="G90" s="21"/>
      <c r="H90" s="21"/>
      <c r="I90" s="7">
        <f t="shared" si="4"/>
        <v>0</v>
      </c>
      <c r="J90" s="19">
        <v>0</v>
      </c>
      <c r="K90" s="21"/>
      <c r="L90" s="21"/>
      <c r="M90" s="7">
        <f t="shared" si="5"/>
        <v>0</v>
      </c>
    </row>
    <row r="91" spans="1:13">
      <c r="A91" s="5">
        <v>41301000</v>
      </c>
      <c r="B91" s="5" t="s">
        <v>159</v>
      </c>
      <c r="C91" s="5">
        <v>41</v>
      </c>
      <c r="D91" s="43" t="s">
        <v>142</v>
      </c>
      <c r="E91" s="8">
        <v>-3256996352</v>
      </c>
      <c r="F91" s="19">
        <v>-8370807078.5900002</v>
      </c>
      <c r="G91" s="21"/>
      <c r="H91" s="21"/>
      <c r="I91" s="8">
        <f>F91-H91+G91</f>
        <v>-8370807078.5900002</v>
      </c>
      <c r="J91" s="19">
        <v>-9252121752.6399994</v>
      </c>
      <c r="K91" s="21"/>
      <c r="L91" s="21"/>
      <c r="M91" s="8">
        <f>J91+K91-L91</f>
        <v>-9252121752.6399994</v>
      </c>
    </row>
    <row r="92" spans="1:13">
      <c r="A92" s="5">
        <v>41301001</v>
      </c>
      <c r="B92" s="5" t="s">
        <v>160</v>
      </c>
      <c r="C92" s="5">
        <v>41</v>
      </c>
      <c r="D92" s="43" t="s">
        <v>142</v>
      </c>
      <c r="E92" s="8">
        <v>-146519069</v>
      </c>
      <c r="F92" s="19">
        <v>0</v>
      </c>
      <c r="G92" s="21"/>
      <c r="H92" s="21"/>
      <c r="I92" s="8">
        <f t="shared" ref="I92:I102" si="6">F92-H92+G92</f>
        <v>0</v>
      </c>
      <c r="J92" s="19">
        <v>0</v>
      </c>
      <c r="K92" s="21"/>
      <c r="L92" s="21"/>
      <c r="M92" s="8">
        <f t="shared" ref="M92:M155" si="7">J92+K92-L92</f>
        <v>0</v>
      </c>
    </row>
    <row r="93" spans="1:13">
      <c r="A93" s="5">
        <v>41301002</v>
      </c>
      <c r="B93" s="5" t="s">
        <v>161</v>
      </c>
      <c r="C93" s="5">
        <v>41</v>
      </c>
      <c r="D93" s="43" t="s">
        <v>142</v>
      </c>
      <c r="E93" s="8">
        <v>-510527313</v>
      </c>
      <c r="F93" s="19">
        <v>-1216367897.05</v>
      </c>
      <c r="G93" s="21"/>
      <c r="H93" s="21"/>
      <c r="I93" s="8">
        <f t="shared" si="6"/>
        <v>-1216367897.05</v>
      </c>
      <c r="J93" s="19">
        <v>-1384801731.6800001</v>
      </c>
      <c r="K93" s="21"/>
      <c r="L93" s="21"/>
      <c r="M93" s="8">
        <f t="shared" si="7"/>
        <v>-1384801731.6800001</v>
      </c>
    </row>
    <row r="94" spans="1:13">
      <c r="A94" s="5">
        <v>41301003</v>
      </c>
      <c r="B94" s="5" t="s">
        <v>55</v>
      </c>
      <c r="C94" s="5">
        <v>41</v>
      </c>
      <c r="D94" s="43" t="s">
        <v>142</v>
      </c>
      <c r="E94" s="8">
        <v>-102299467</v>
      </c>
      <c r="F94" s="19">
        <v>-243273580.88999999</v>
      </c>
      <c r="G94" s="21"/>
      <c r="H94" s="21"/>
      <c r="I94" s="8">
        <f t="shared" si="6"/>
        <v>-243273580.88999999</v>
      </c>
      <c r="J94" s="19">
        <v>-276960347.27999997</v>
      </c>
      <c r="K94" s="21"/>
      <c r="L94" s="21"/>
      <c r="M94" s="8">
        <f t="shared" si="7"/>
        <v>-276960347.27999997</v>
      </c>
    </row>
    <row r="95" spans="1:13">
      <c r="A95" s="5">
        <v>41359500</v>
      </c>
      <c r="B95" s="5" t="s">
        <v>162</v>
      </c>
      <c r="C95" s="5">
        <v>41</v>
      </c>
      <c r="D95" s="43" t="s">
        <v>142</v>
      </c>
      <c r="E95" s="8">
        <v>-1408623313</v>
      </c>
      <c r="F95" s="19">
        <v>-1257142988.21</v>
      </c>
      <c r="G95" s="21"/>
      <c r="H95" s="21"/>
      <c r="I95" s="8">
        <f t="shared" si="6"/>
        <v>-1257142988.21</v>
      </c>
      <c r="J95" s="19">
        <v>-397561217.27999997</v>
      </c>
      <c r="K95" s="21"/>
      <c r="L95" s="21"/>
      <c r="M95" s="8">
        <f t="shared" si="7"/>
        <v>-397561217.27999997</v>
      </c>
    </row>
    <row r="96" spans="1:13">
      <c r="A96" s="5">
        <v>41450500</v>
      </c>
      <c r="B96" s="6" t="s">
        <v>56</v>
      </c>
      <c r="C96" s="5">
        <v>41</v>
      </c>
      <c r="D96" s="43" t="s">
        <v>142</v>
      </c>
      <c r="E96" s="8">
        <v>0</v>
      </c>
      <c r="F96" s="19">
        <v>0</v>
      </c>
      <c r="G96" s="21"/>
      <c r="H96" s="21"/>
      <c r="I96" s="8">
        <f t="shared" si="6"/>
        <v>0</v>
      </c>
      <c r="J96" s="19">
        <v>0</v>
      </c>
      <c r="K96" s="21"/>
      <c r="L96" s="21"/>
      <c r="M96" s="8">
        <f t="shared" si="7"/>
        <v>0</v>
      </c>
    </row>
    <row r="97" spans="1:16">
      <c r="A97" s="5">
        <v>42100500</v>
      </c>
      <c r="B97" s="6" t="s">
        <v>57</v>
      </c>
      <c r="C97" s="6">
        <v>53</v>
      </c>
      <c r="D97" s="43" t="s">
        <v>145</v>
      </c>
      <c r="E97" s="8">
        <v>0</v>
      </c>
      <c r="F97" s="19">
        <v>-2004757.75</v>
      </c>
      <c r="G97" s="21"/>
      <c r="H97" s="21"/>
      <c r="I97" s="8">
        <f t="shared" si="6"/>
        <v>-2004757.75</v>
      </c>
      <c r="J97" s="19">
        <v>-14202486.289999999</v>
      </c>
      <c r="K97" s="21"/>
      <c r="L97" s="21"/>
      <c r="M97" s="8">
        <f t="shared" si="7"/>
        <v>-14202486.289999999</v>
      </c>
    </row>
    <row r="98" spans="1:16">
      <c r="A98" s="5">
        <v>42102000</v>
      </c>
      <c r="B98" s="5" t="s">
        <v>58</v>
      </c>
      <c r="C98" s="5">
        <v>54</v>
      </c>
      <c r="D98" s="43" t="s">
        <v>146</v>
      </c>
      <c r="E98" s="8">
        <v>-164250714</v>
      </c>
      <c r="F98" s="19">
        <v>-31927021.199999999</v>
      </c>
      <c r="G98" s="21"/>
      <c r="H98" s="21"/>
      <c r="I98" s="8">
        <f t="shared" si="6"/>
        <v>-31927021.199999999</v>
      </c>
      <c r="J98" s="19">
        <v>0</v>
      </c>
      <c r="K98" s="21"/>
      <c r="L98" s="21"/>
      <c r="M98" s="8">
        <f t="shared" si="7"/>
        <v>0</v>
      </c>
    </row>
    <row r="99" spans="1:16">
      <c r="A99" s="5">
        <v>42102001</v>
      </c>
      <c r="B99" s="5" t="s">
        <v>59</v>
      </c>
      <c r="C99" s="5">
        <v>54</v>
      </c>
      <c r="D99" s="43" t="s">
        <v>146</v>
      </c>
      <c r="E99" s="8">
        <v>0</v>
      </c>
      <c r="F99" s="19">
        <v>0</v>
      </c>
      <c r="G99" s="21"/>
      <c r="H99" s="21"/>
      <c r="I99" s="8">
        <f t="shared" si="6"/>
        <v>0</v>
      </c>
      <c r="J99" s="19">
        <v>-14722034.880000001</v>
      </c>
      <c r="K99" s="21"/>
      <c r="L99" s="21"/>
      <c r="M99" s="8">
        <f t="shared" si="7"/>
        <v>-14722034.880000001</v>
      </c>
    </row>
    <row r="100" spans="1:16">
      <c r="A100" s="5">
        <v>42454000</v>
      </c>
      <c r="B100" s="5" t="s">
        <v>163</v>
      </c>
      <c r="C100" s="5">
        <v>52</v>
      </c>
      <c r="D100" s="43" t="s">
        <v>182</v>
      </c>
      <c r="E100" s="8">
        <v>-193603508</v>
      </c>
      <c r="F100" s="19">
        <v>0</v>
      </c>
      <c r="G100" s="21"/>
      <c r="H100" s="21"/>
      <c r="I100" s="8">
        <f t="shared" si="6"/>
        <v>0</v>
      </c>
      <c r="J100" s="19">
        <v>-2732798</v>
      </c>
      <c r="K100" s="21"/>
      <c r="L100" s="21"/>
      <c r="M100" s="8">
        <f t="shared" si="7"/>
        <v>-2732798</v>
      </c>
    </row>
    <row r="101" spans="1:16">
      <c r="A101" s="5">
        <v>42551000</v>
      </c>
      <c r="B101" s="5" t="s">
        <v>164</v>
      </c>
      <c r="C101" s="5">
        <v>52</v>
      </c>
      <c r="D101" s="43" t="s">
        <v>182</v>
      </c>
      <c r="E101" s="8">
        <v>-285600</v>
      </c>
      <c r="F101" s="19">
        <v>-2748892</v>
      </c>
      <c r="G101" s="21"/>
      <c r="H101" s="21"/>
      <c r="I101" s="8">
        <f t="shared" si="6"/>
        <v>-2748892</v>
      </c>
      <c r="J101" s="19">
        <v>-2867469</v>
      </c>
      <c r="K101" s="21"/>
      <c r="L101" s="21"/>
      <c r="M101" s="8">
        <f t="shared" si="7"/>
        <v>-2867469</v>
      </c>
    </row>
    <row r="102" spans="1:16">
      <c r="A102" s="5">
        <v>42554000</v>
      </c>
      <c r="B102" s="5" t="s">
        <v>165</v>
      </c>
      <c r="C102" s="5">
        <v>52</v>
      </c>
      <c r="D102" s="43" t="s">
        <v>182</v>
      </c>
      <c r="E102" s="8">
        <v>-1625939</v>
      </c>
      <c r="F102" s="19">
        <v>-17891307</v>
      </c>
      <c r="G102" s="21"/>
      <c r="H102" s="21"/>
      <c r="I102" s="8">
        <f t="shared" si="6"/>
        <v>-17891307</v>
      </c>
      <c r="J102" s="19">
        <v>-97838766</v>
      </c>
      <c r="K102" s="21"/>
      <c r="L102" s="21"/>
      <c r="M102" s="8">
        <f t="shared" si="7"/>
        <v>-97838766</v>
      </c>
    </row>
    <row r="103" spans="1:16">
      <c r="A103" s="5">
        <v>51050300</v>
      </c>
      <c r="B103" s="5" t="s">
        <v>60</v>
      </c>
      <c r="C103" s="5">
        <v>51</v>
      </c>
      <c r="D103" s="43" t="s">
        <v>144</v>
      </c>
      <c r="E103" s="8">
        <v>678957592</v>
      </c>
      <c r="F103" s="19">
        <v>989058379</v>
      </c>
      <c r="G103" s="21"/>
      <c r="H103" s="21"/>
      <c r="I103" s="8">
        <f>F103+G103-H103</f>
        <v>989058379</v>
      </c>
      <c r="J103" s="19">
        <v>987066023</v>
      </c>
      <c r="K103" s="21"/>
      <c r="L103" s="21"/>
      <c r="M103" s="8">
        <f t="shared" si="7"/>
        <v>987066023</v>
      </c>
      <c r="P103" s="79" t="s">
        <v>313</v>
      </c>
    </row>
    <row r="104" spans="1:16">
      <c r="A104" s="5">
        <v>51052700</v>
      </c>
      <c r="B104" s="5" t="s">
        <v>166</v>
      </c>
      <c r="C104" s="5">
        <v>51</v>
      </c>
      <c r="D104" s="43" t="s">
        <v>144</v>
      </c>
      <c r="E104" s="8">
        <v>3231470</v>
      </c>
      <c r="F104" s="19">
        <v>3434933</v>
      </c>
      <c r="G104" s="21"/>
      <c r="H104" s="21"/>
      <c r="I104" s="8">
        <f t="shared" ref="I104:I169" si="8">F104+G104-H104</f>
        <v>3434933</v>
      </c>
      <c r="J104" s="19">
        <v>2386213</v>
      </c>
      <c r="K104" s="21"/>
      <c r="L104" s="21"/>
      <c r="M104" s="8">
        <f t="shared" si="7"/>
        <v>2386213</v>
      </c>
      <c r="P104" s="80" t="s">
        <v>313</v>
      </c>
    </row>
    <row r="105" spans="1:16">
      <c r="A105" s="5">
        <v>51053000</v>
      </c>
      <c r="B105" s="5" t="s">
        <v>61</v>
      </c>
      <c r="C105" s="5">
        <v>51</v>
      </c>
      <c r="D105" s="43" t="s">
        <v>144</v>
      </c>
      <c r="E105" s="8">
        <v>20383913</v>
      </c>
      <c r="F105" s="19">
        <v>39791054</v>
      </c>
      <c r="G105" s="21"/>
      <c r="H105" s="21"/>
      <c r="I105" s="8">
        <f t="shared" si="8"/>
        <v>39791054</v>
      </c>
      <c r="J105" s="19">
        <v>43784158</v>
      </c>
      <c r="K105" s="21"/>
      <c r="L105" s="21"/>
      <c r="M105" s="8">
        <f t="shared" si="7"/>
        <v>43784158</v>
      </c>
      <c r="P105" s="80" t="s">
        <v>315</v>
      </c>
    </row>
    <row r="106" spans="1:16">
      <c r="A106" s="5">
        <v>51053300</v>
      </c>
      <c r="B106" s="5" t="s">
        <v>62</v>
      </c>
      <c r="C106" s="5">
        <v>51</v>
      </c>
      <c r="D106" s="43" t="s">
        <v>144</v>
      </c>
      <c r="E106" s="8">
        <v>2446064</v>
      </c>
      <c r="F106" s="19">
        <v>8325974.5499999998</v>
      </c>
      <c r="G106" s="21"/>
      <c r="H106" s="21"/>
      <c r="I106" s="8">
        <f t="shared" si="8"/>
        <v>8325974.5499999998</v>
      </c>
      <c r="J106" s="19">
        <v>5052023</v>
      </c>
      <c r="K106" s="21"/>
      <c r="L106" s="21"/>
      <c r="M106" s="8">
        <f t="shared" si="7"/>
        <v>5052023</v>
      </c>
      <c r="P106" s="80" t="s">
        <v>315</v>
      </c>
    </row>
    <row r="107" spans="1:16">
      <c r="A107" s="5">
        <v>51053600</v>
      </c>
      <c r="B107" s="5" t="s">
        <v>63</v>
      </c>
      <c r="C107" s="5">
        <v>51</v>
      </c>
      <c r="D107" s="43" t="s">
        <v>144</v>
      </c>
      <c r="E107" s="8">
        <v>20383913</v>
      </c>
      <c r="F107" s="19">
        <v>37839499</v>
      </c>
      <c r="G107" s="21"/>
      <c r="H107" s="21"/>
      <c r="I107" s="8">
        <f t="shared" si="8"/>
        <v>37839499</v>
      </c>
      <c r="J107" s="19">
        <v>44149011</v>
      </c>
      <c r="K107" s="21"/>
      <c r="L107" s="21"/>
      <c r="M107" s="8">
        <f t="shared" si="7"/>
        <v>44149011</v>
      </c>
      <c r="P107" s="80" t="s">
        <v>315</v>
      </c>
    </row>
    <row r="108" spans="1:16">
      <c r="A108" s="5">
        <v>51053900</v>
      </c>
      <c r="B108" s="5" t="s">
        <v>64</v>
      </c>
      <c r="C108" s="5">
        <v>51</v>
      </c>
      <c r="D108" s="43" t="s">
        <v>144</v>
      </c>
      <c r="E108" s="8">
        <v>28668851</v>
      </c>
      <c r="F108" s="19">
        <v>73802015</v>
      </c>
      <c r="G108" s="21"/>
      <c r="H108" s="21"/>
      <c r="I108" s="8">
        <f t="shared" si="8"/>
        <v>73802015</v>
      </c>
      <c r="J108" s="19">
        <v>48536921</v>
      </c>
      <c r="K108" s="21"/>
      <c r="L108" s="21"/>
      <c r="M108" s="8">
        <f t="shared" si="7"/>
        <v>48536921</v>
      </c>
      <c r="P108" s="80" t="s">
        <v>316</v>
      </c>
    </row>
    <row r="109" spans="1:16">
      <c r="A109" s="5">
        <v>51054800</v>
      </c>
      <c r="B109" s="5" t="s">
        <v>361</v>
      </c>
      <c r="C109" s="5">
        <v>51</v>
      </c>
      <c r="D109" s="43" t="s">
        <v>144</v>
      </c>
      <c r="E109" s="8">
        <v>0</v>
      </c>
      <c r="F109" s="19">
        <v>8094888</v>
      </c>
      <c r="G109" s="21"/>
      <c r="H109" s="21"/>
      <c r="I109" s="8">
        <f t="shared" si="8"/>
        <v>8094888</v>
      </c>
      <c r="J109" s="19">
        <v>3362004</v>
      </c>
      <c r="K109" s="21"/>
      <c r="L109" s="21"/>
      <c r="M109" s="8">
        <f t="shared" si="7"/>
        <v>3362004</v>
      </c>
      <c r="P109" s="80" t="s">
        <v>319</v>
      </c>
    </row>
    <row r="110" spans="1:16">
      <c r="A110" s="5">
        <v>51055100</v>
      </c>
      <c r="B110" s="5" t="s">
        <v>65</v>
      </c>
      <c r="C110" s="5">
        <v>51</v>
      </c>
      <c r="D110" s="43" t="s">
        <v>144</v>
      </c>
      <c r="E110" s="8">
        <v>1446458</v>
      </c>
      <c r="F110" s="19">
        <v>2446886.7400000002</v>
      </c>
      <c r="G110" s="21"/>
      <c r="H110" s="21"/>
      <c r="I110" s="8">
        <f t="shared" si="8"/>
        <v>2446886.7400000002</v>
      </c>
      <c r="J110" s="19">
        <v>2235439</v>
      </c>
      <c r="K110" s="21"/>
      <c r="L110" s="21"/>
      <c r="M110" s="8">
        <f t="shared" si="7"/>
        <v>2235439</v>
      </c>
      <c r="P110" s="80" t="s">
        <v>318</v>
      </c>
    </row>
    <row r="111" spans="1:16">
      <c r="A111" s="5">
        <v>51055700</v>
      </c>
      <c r="B111" s="5" t="s">
        <v>66</v>
      </c>
      <c r="C111" s="5">
        <v>51</v>
      </c>
      <c r="D111" s="43" t="s">
        <v>144</v>
      </c>
      <c r="E111" s="8">
        <v>66840351</v>
      </c>
      <c r="F111" s="19">
        <v>101791207</v>
      </c>
      <c r="G111" s="21"/>
      <c r="H111" s="21"/>
      <c r="I111" s="8">
        <f t="shared" si="8"/>
        <v>101791207</v>
      </c>
      <c r="J111" s="19">
        <v>138743798</v>
      </c>
      <c r="K111" s="21"/>
      <c r="L111" s="21"/>
      <c r="M111" s="8">
        <f t="shared" si="7"/>
        <v>138743798</v>
      </c>
      <c r="P111" s="80" t="s">
        <v>314</v>
      </c>
    </row>
    <row r="112" spans="1:16">
      <c r="A112" s="5">
        <v>51056000</v>
      </c>
      <c r="B112" s="5" t="s">
        <v>67</v>
      </c>
      <c r="C112" s="5">
        <v>51</v>
      </c>
      <c r="D112" s="43" t="s">
        <v>144</v>
      </c>
      <c r="E112" s="8">
        <v>2897683</v>
      </c>
      <c r="F112" s="19">
        <v>18450196</v>
      </c>
      <c r="G112" s="21"/>
      <c r="H112" s="21"/>
      <c r="I112" s="8">
        <f t="shared" si="8"/>
        <v>18450196</v>
      </c>
      <c r="J112" s="19">
        <v>0</v>
      </c>
      <c r="K112" s="21"/>
      <c r="L112" s="21"/>
      <c r="M112" s="8">
        <f t="shared" si="7"/>
        <v>0</v>
      </c>
      <c r="P112" s="80" t="s">
        <v>317</v>
      </c>
    </row>
    <row r="113" spans="1:16">
      <c r="A113" s="5">
        <v>51056300</v>
      </c>
      <c r="B113" s="5" t="s">
        <v>68</v>
      </c>
      <c r="C113" s="5">
        <v>51</v>
      </c>
      <c r="D113" s="43" t="s">
        <v>144</v>
      </c>
      <c r="E113" s="8">
        <v>7396700</v>
      </c>
      <c r="F113" s="19">
        <v>1720000</v>
      </c>
      <c r="G113" s="21"/>
      <c r="H113" s="21"/>
      <c r="I113" s="8">
        <f t="shared" si="8"/>
        <v>1720000</v>
      </c>
      <c r="J113" s="19">
        <v>3628709</v>
      </c>
      <c r="K113" s="21"/>
      <c r="L113" s="21"/>
      <c r="M113" s="8">
        <f t="shared" si="7"/>
        <v>3628709</v>
      </c>
      <c r="P113" s="80" t="s">
        <v>318</v>
      </c>
    </row>
    <row r="114" spans="1:16">
      <c r="A114" s="5">
        <v>51056600</v>
      </c>
      <c r="B114" s="5" t="s">
        <v>167</v>
      </c>
      <c r="C114" s="5">
        <v>51</v>
      </c>
      <c r="D114" s="43" t="s">
        <v>144</v>
      </c>
      <c r="E114" s="8">
        <v>3850000</v>
      </c>
      <c r="F114" s="19">
        <v>2422000</v>
      </c>
      <c r="G114" s="21"/>
      <c r="H114" s="21"/>
      <c r="I114" s="8">
        <f t="shared" si="8"/>
        <v>2422000</v>
      </c>
      <c r="J114" s="19">
        <v>0</v>
      </c>
      <c r="K114" s="21"/>
      <c r="L114" s="21"/>
      <c r="M114" s="8">
        <f t="shared" si="7"/>
        <v>0</v>
      </c>
      <c r="P114" s="80" t="s">
        <v>318</v>
      </c>
    </row>
    <row r="115" spans="1:16">
      <c r="A115" s="5">
        <v>51056800</v>
      </c>
      <c r="B115" s="5" t="s">
        <v>69</v>
      </c>
      <c r="C115" s="5">
        <v>51</v>
      </c>
      <c r="D115" s="43" t="s">
        <v>144</v>
      </c>
      <c r="E115" s="8">
        <v>29235407</v>
      </c>
      <c r="F115" s="19">
        <v>46738245.090000004</v>
      </c>
      <c r="G115" s="21"/>
      <c r="H115" s="21"/>
      <c r="I115" s="8">
        <f t="shared" si="8"/>
        <v>46738245.090000004</v>
      </c>
      <c r="J115" s="19">
        <v>28246219</v>
      </c>
      <c r="K115" s="21"/>
      <c r="L115" s="21"/>
      <c r="M115" s="8">
        <f t="shared" si="7"/>
        <v>28246219</v>
      </c>
      <c r="P115" s="80" t="s">
        <v>318</v>
      </c>
    </row>
    <row r="116" spans="1:16">
      <c r="A116" s="5">
        <v>51056900</v>
      </c>
      <c r="B116" s="5" t="s">
        <v>70</v>
      </c>
      <c r="C116" s="5">
        <v>51</v>
      </c>
      <c r="D116" s="43" t="s">
        <v>144</v>
      </c>
      <c r="E116" s="8">
        <v>28145291</v>
      </c>
      <c r="F116" s="19">
        <v>40267560</v>
      </c>
      <c r="G116" s="21"/>
      <c r="H116" s="21"/>
      <c r="I116" s="8">
        <f t="shared" si="8"/>
        <v>40267560</v>
      </c>
      <c r="J116" s="19">
        <v>29304458</v>
      </c>
      <c r="K116" s="21"/>
      <c r="L116" s="21"/>
      <c r="M116" s="8">
        <f t="shared" si="7"/>
        <v>29304458</v>
      </c>
      <c r="P116" s="80" t="s">
        <v>318</v>
      </c>
    </row>
    <row r="117" spans="1:16">
      <c r="A117" s="5">
        <v>51057200</v>
      </c>
      <c r="B117" s="5" t="s">
        <v>71</v>
      </c>
      <c r="C117" s="5">
        <v>51</v>
      </c>
      <c r="D117" s="43" t="s">
        <v>144</v>
      </c>
      <c r="E117" s="8">
        <v>21567690</v>
      </c>
      <c r="F117" s="19">
        <v>33716450</v>
      </c>
      <c r="G117" s="21"/>
      <c r="H117" s="21"/>
      <c r="I117" s="8">
        <f t="shared" si="8"/>
        <v>33716450</v>
      </c>
      <c r="J117" s="19">
        <v>34246446</v>
      </c>
      <c r="K117" s="21"/>
      <c r="L117" s="21"/>
      <c r="M117" s="8">
        <f t="shared" si="7"/>
        <v>34246446</v>
      </c>
      <c r="P117" s="80" t="s">
        <v>318</v>
      </c>
    </row>
    <row r="118" spans="1:16">
      <c r="A118" s="5">
        <v>51057500</v>
      </c>
      <c r="B118" s="5" t="s">
        <v>72</v>
      </c>
      <c r="C118" s="5">
        <v>51</v>
      </c>
      <c r="D118" s="43" t="s">
        <v>144</v>
      </c>
      <c r="E118" s="8">
        <v>9537820</v>
      </c>
      <c r="F118" s="19">
        <v>14292661</v>
      </c>
      <c r="G118" s="21"/>
      <c r="H118" s="21"/>
      <c r="I118" s="8">
        <f t="shared" si="8"/>
        <v>14292661</v>
      </c>
      <c r="J118" s="19">
        <v>10291188</v>
      </c>
      <c r="K118" s="21"/>
      <c r="L118" s="21"/>
      <c r="M118" s="8">
        <f t="shared" si="7"/>
        <v>10291188</v>
      </c>
      <c r="P118" s="80" t="s">
        <v>318</v>
      </c>
    </row>
    <row r="119" spans="1:16">
      <c r="A119" s="5">
        <v>51057800</v>
      </c>
      <c r="B119" s="5" t="s">
        <v>73</v>
      </c>
      <c r="C119" s="5">
        <v>51</v>
      </c>
      <c r="D119" s="43" t="s">
        <v>144</v>
      </c>
      <c r="E119" s="8">
        <v>6385458</v>
      </c>
      <c r="F119" s="19">
        <v>9529107</v>
      </c>
      <c r="G119" s="21"/>
      <c r="H119" s="21"/>
      <c r="I119" s="8">
        <f t="shared" si="8"/>
        <v>9529107</v>
      </c>
      <c r="J119" s="19">
        <v>6860792</v>
      </c>
      <c r="K119" s="21"/>
      <c r="L119" s="21"/>
      <c r="M119" s="8">
        <f t="shared" si="7"/>
        <v>6860792</v>
      </c>
      <c r="P119" s="80" t="s">
        <v>318</v>
      </c>
    </row>
    <row r="120" spans="1:16">
      <c r="A120" s="5">
        <v>51058400</v>
      </c>
      <c r="B120" s="5" t="s">
        <v>74</v>
      </c>
      <c r="C120" s="5">
        <v>51</v>
      </c>
      <c r="D120" s="43" t="s">
        <v>144</v>
      </c>
      <c r="E120" s="8">
        <v>651356</v>
      </c>
      <c r="F120" s="19">
        <v>546894</v>
      </c>
      <c r="G120" s="21"/>
      <c r="H120" s="21"/>
      <c r="I120" s="8">
        <f t="shared" si="8"/>
        <v>546894</v>
      </c>
      <c r="J120" s="19">
        <v>924749</v>
      </c>
      <c r="K120" s="21"/>
      <c r="L120" s="21"/>
      <c r="M120" s="8">
        <f t="shared" si="7"/>
        <v>924749</v>
      </c>
      <c r="P120" s="80" t="s">
        <v>318</v>
      </c>
    </row>
    <row r="121" spans="1:16">
      <c r="A121" s="5">
        <v>51101000</v>
      </c>
      <c r="B121" s="5" t="s">
        <v>75</v>
      </c>
      <c r="C121" s="5">
        <v>51</v>
      </c>
      <c r="D121" s="43" t="s">
        <v>144</v>
      </c>
      <c r="E121" s="8">
        <v>97475418</v>
      </c>
      <c r="F121" s="19">
        <v>47856183.149999999</v>
      </c>
      <c r="G121" s="21"/>
      <c r="H121" s="21"/>
      <c r="I121" s="8">
        <f t="shared" si="8"/>
        <v>47856183.149999999</v>
      </c>
      <c r="J121" s="19">
        <v>104118044</v>
      </c>
      <c r="K121" s="21"/>
      <c r="L121" s="21"/>
      <c r="M121" s="8">
        <f t="shared" si="7"/>
        <v>104118044</v>
      </c>
      <c r="P121" s="80" t="s">
        <v>321</v>
      </c>
    </row>
    <row r="122" spans="1:16">
      <c r="A122" s="5">
        <v>51101500</v>
      </c>
      <c r="B122" s="6" t="s">
        <v>76</v>
      </c>
      <c r="C122" s="5">
        <v>51</v>
      </c>
      <c r="D122" s="43" t="s">
        <v>144</v>
      </c>
      <c r="E122" s="8">
        <v>0</v>
      </c>
      <c r="F122" s="19">
        <v>0</v>
      </c>
      <c r="G122" s="21"/>
      <c r="H122" s="21"/>
      <c r="I122" s="8">
        <f t="shared" si="8"/>
        <v>0</v>
      </c>
      <c r="J122" s="19">
        <v>0</v>
      </c>
      <c r="K122" s="21"/>
      <c r="L122" s="21"/>
      <c r="M122" s="8">
        <f t="shared" si="7"/>
        <v>0</v>
      </c>
      <c r="P122" s="80" t="s">
        <v>321</v>
      </c>
    </row>
    <row r="123" spans="1:16">
      <c r="A123" s="5">
        <v>51102500</v>
      </c>
      <c r="B123" s="6" t="s">
        <v>77</v>
      </c>
      <c r="C123" s="5">
        <v>51</v>
      </c>
      <c r="D123" s="43" t="s">
        <v>144</v>
      </c>
      <c r="E123" s="8">
        <v>0</v>
      </c>
      <c r="F123" s="19">
        <v>4648390</v>
      </c>
      <c r="G123" s="21"/>
      <c r="H123" s="21"/>
      <c r="I123" s="8">
        <f t="shared" si="8"/>
        <v>4648390</v>
      </c>
      <c r="J123" s="19">
        <v>43531380</v>
      </c>
      <c r="K123" s="21"/>
      <c r="L123" s="21"/>
      <c r="M123" s="8">
        <f t="shared" si="7"/>
        <v>43531380</v>
      </c>
      <c r="P123" s="80" t="s">
        <v>321</v>
      </c>
    </row>
    <row r="124" spans="1:16">
      <c r="A124" s="5">
        <v>51103500</v>
      </c>
      <c r="B124" s="5" t="s">
        <v>78</v>
      </c>
      <c r="C124" s="5">
        <v>51</v>
      </c>
      <c r="D124" s="43" t="s">
        <v>144</v>
      </c>
      <c r="E124" s="8">
        <v>62979487</v>
      </c>
      <c r="F124" s="19">
        <v>56572509</v>
      </c>
      <c r="G124" s="21"/>
      <c r="H124" s="21"/>
      <c r="I124" s="8">
        <f t="shared" si="8"/>
        <v>56572509</v>
      </c>
      <c r="J124" s="19">
        <v>0</v>
      </c>
      <c r="K124" s="21"/>
      <c r="L124" s="21"/>
      <c r="M124" s="8">
        <f t="shared" si="7"/>
        <v>0</v>
      </c>
      <c r="P124" s="80" t="s">
        <v>321</v>
      </c>
    </row>
    <row r="125" spans="1:16">
      <c r="A125" s="5">
        <v>51109500</v>
      </c>
      <c r="B125" s="5" t="s">
        <v>79</v>
      </c>
      <c r="C125" s="5">
        <v>51</v>
      </c>
      <c r="D125" s="43" t="s">
        <v>144</v>
      </c>
      <c r="E125" s="8">
        <v>17918395</v>
      </c>
      <c r="F125" s="19">
        <v>32162575.16</v>
      </c>
      <c r="G125" s="21"/>
      <c r="H125" s="21"/>
      <c r="I125" s="8">
        <f t="shared" si="8"/>
        <v>32162575.16</v>
      </c>
      <c r="J125" s="19">
        <v>12091976</v>
      </c>
      <c r="K125" s="21"/>
      <c r="L125" s="21"/>
      <c r="M125" s="8">
        <f t="shared" si="7"/>
        <v>12091976</v>
      </c>
      <c r="P125" s="80" t="s">
        <v>321</v>
      </c>
    </row>
    <row r="126" spans="1:16">
      <c r="A126" s="5">
        <v>51154000</v>
      </c>
      <c r="B126" s="5" t="s">
        <v>80</v>
      </c>
      <c r="C126" s="5">
        <v>51</v>
      </c>
      <c r="D126" s="43" t="s">
        <v>144</v>
      </c>
      <c r="E126" s="8">
        <v>988000</v>
      </c>
      <c r="F126" s="19">
        <v>579000</v>
      </c>
      <c r="G126" s="21"/>
      <c r="H126" s="21"/>
      <c r="I126" s="8">
        <f t="shared" si="8"/>
        <v>579000</v>
      </c>
      <c r="J126" s="19">
        <v>461000</v>
      </c>
      <c r="K126" s="21"/>
      <c r="L126" s="21"/>
      <c r="M126" s="8">
        <f t="shared" si="7"/>
        <v>461000</v>
      </c>
      <c r="P126" s="80" t="s">
        <v>325</v>
      </c>
    </row>
    <row r="127" spans="1:16">
      <c r="A127" s="5">
        <v>51157000</v>
      </c>
      <c r="B127" s="5" t="s">
        <v>362</v>
      </c>
      <c r="C127" s="5">
        <v>51</v>
      </c>
      <c r="D127" s="43" t="s">
        <v>144</v>
      </c>
      <c r="E127" s="8">
        <v>0</v>
      </c>
      <c r="F127" s="19">
        <v>4231488.26</v>
      </c>
      <c r="G127" s="21"/>
      <c r="H127" s="21"/>
      <c r="I127" s="8">
        <f t="shared" si="8"/>
        <v>4231488.26</v>
      </c>
      <c r="J127" s="19">
        <v>532000</v>
      </c>
      <c r="K127" s="21"/>
      <c r="L127" s="21"/>
      <c r="M127" s="8">
        <f t="shared" si="7"/>
        <v>532000</v>
      </c>
      <c r="P127" s="80" t="s">
        <v>325</v>
      </c>
    </row>
    <row r="128" spans="1:16">
      <c r="A128" s="5">
        <v>51159500</v>
      </c>
      <c r="B128" s="5" t="s">
        <v>81</v>
      </c>
      <c r="C128" s="5">
        <v>51</v>
      </c>
      <c r="D128" s="43" t="s">
        <v>144</v>
      </c>
      <c r="E128" s="8">
        <v>73931133</v>
      </c>
      <c r="F128" s="19">
        <v>149537972.08000001</v>
      </c>
      <c r="G128" s="21"/>
      <c r="H128" s="21"/>
      <c r="I128" s="8">
        <f t="shared" si="8"/>
        <v>149537972.08000001</v>
      </c>
      <c r="J128" s="19">
        <v>151191329.52000001</v>
      </c>
      <c r="K128" s="21"/>
      <c r="L128" s="21"/>
      <c r="M128" s="8">
        <f t="shared" si="7"/>
        <v>151191329.52000001</v>
      </c>
      <c r="P128" s="80" t="s">
        <v>325</v>
      </c>
    </row>
    <row r="129" spans="1:16">
      <c r="A129" s="5">
        <v>51201000</v>
      </c>
      <c r="B129" s="5" t="s">
        <v>82</v>
      </c>
      <c r="C129" s="5">
        <v>51</v>
      </c>
      <c r="D129" s="43" t="s">
        <v>144</v>
      </c>
      <c r="E129" s="8">
        <v>4444000</v>
      </c>
      <c r="F129" s="19">
        <v>4874000</v>
      </c>
      <c r="G129" s="21"/>
      <c r="H129" s="21"/>
      <c r="I129" s="8">
        <f t="shared" si="8"/>
        <v>4874000</v>
      </c>
      <c r="J129" s="19">
        <v>74797081.989999995</v>
      </c>
      <c r="K129" s="21"/>
      <c r="L129" s="21"/>
      <c r="M129" s="8">
        <f t="shared" si="7"/>
        <v>74797081.989999995</v>
      </c>
      <c r="P129" s="80" t="s">
        <v>326</v>
      </c>
    </row>
    <row r="130" spans="1:16">
      <c r="A130" s="5">
        <v>51201500</v>
      </c>
      <c r="B130" s="5" t="s">
        <v>168</v>
      </c>
      <c r="C130" s="5">
        <v>51</v>
      </c>
      <c r="D130" s="43" t="s">
        <v>144</v>
      </c>
      <c r="E130" s="8">
        <v>6750000</v>
      </c>
      <c r="F130" s="19">
        <v>0</v>
      </c>
      <c r="G130" s="21"/>
      <c r="H130" s="21"/>
      <c r="I130" s="8">
        <f t="shared" si="8"/>
        <v>0</v>
      </c>
      <c r="J130" s="19">
        <v>0</v>
      </c>
      <c r="K130" s="21"/>
      <c r="L130" s="21"/>
      <c r="M130" s="8">
        <f t="shared" si="7"/>
        <v>0</v>
      </c>
      <c r="P130" s="80" t="s">
        <v>326</v>
      </c>
    </row>
    <row r="131" spans="1:16">
      <c r="A131" s="5">
        <v>51204000</v>
      </c>
      <c r="B131" s="5" t="s">
        <v>83</v>
      </c>
      <c r="C131" s="5">
        <v>51</v>
      </c>
      <c r="D131" s="43" t="s">
        <v>144</v>
      </c>
      <c r="E131" s="8">
        <v>3500000</v>
      </c>
      <c r="F131" s="19">
        <v>2339142.62</v>
      </c>
      <c r="G131" s="21"/>
      <c r="H131" s="21"/>
      <c r="I131" s="8">
        <f t="shared" si="8"/>
        <v>2339142.62</v>
      </c>
      <c r="J131" s="19">
        <v>3766655</v>
      </c>
      <c r="K131" s="21"/>
      <c r="L131" s="21"/>
      <c r="M131" s="8">
        <f t="shared" si="7"/>
        <v>3766655</v>
      </c>
      <c r="P131" s="80" t="s">
        <v>326</v>
      </c>
    </row>
    <row r="132" spans="1:16">
      <c r="A132" s="5">
        <v>51209500</v>
      </c>
      <c r="B132" s="5" t="s">
        <v>169</v>
      </c>
      <c r="C132" s="5">
        <v>51</v>
      </c>
      <c r="D132" s="43" t="s">
        <v>144</v>
      </c>
      <c r="E132" s="8">
        <v>0</v>
      </c>
      <c r="F132" s="19">
        <v>0</v>
      </c>
      <c r="G132" s="21"/>
      <c r="H132" s="21"/>
      <c r="I132" s="8">
        <f t="shared" si="8"/>
        <v>0</v>
      </c>
      <c r="J132" s="19">
        <v>1106700</v>
      </c>
      <c r="K132" s="21"/>
      <c r="L132" s="21"/>
      <c r="M132" s="8">
        <f t="shared" si="7"/>
        <v>1106700</v>
      </c>
      <c r="P132" s="80" t="s">
        <v>326</v>
      </c>
    </row>
    <row r="133" spans="1:16">
      <c r="A133" s="5">
        <v>51250500</v>
      </c>
      <c r="B133" s="5" t="s">
        <v>84</v>
      </c>
      <c r="C133" s="5">
        <v>51</v>
      </c>
      <c r="D133" s="43" t="s">
        <v>144</v>
      </c>
      <c r="E133" s="8">
        <v>26089280</v>
      </c>
      <c r="F133" s="19">
        <v>61976591.259999998</v>
      </c>
      <c r="G133" s="21"/>
      <c r="H133" s="21"/>
      <c r="I133" s="8">
        <f t="shared" si="8"/>
        <v>61976591.259999998</v>
      </c>
      <c r="J133" s="19">
        <v>22606180</v>
      </c>
      <c r="K133" s="21"/>
      <c r="L133" s="21"/>
      <c r="M133" s="8">
        <f t="shared" si="7"/>
        <v>22606180</v>
      </c>
      <c r="P133" s="80" t="s">
        <v>327</v>
      </c>
    </row>
    <row r="134" spans="1:16">
      <c r="A134" s="5">
        <v>51301000</v>
      </c>
      <c r="B134" s="5" t="s">
        <v>170</v>
      </c>
      <c r="C134" s="5">
        <v>51</v>
      </c>
      <c r="D134" s="43" t="s">
        <v>144</v>
      </c>
      <c r="E134" s="8">
        <v>101833158</v>
      </c>
      <c r="F134" s="19">
        <v>677678</v>
      </c>
      <c r="G134" s="21"/>
      <c r="H134" s="21"/>
      <c r="I134" s="8">
        <f t="shared" si="8"/>
        <v>677678</v>
      </c>
      <c r="J134" s="19">
        <v>3581532</v>
      </c>
      <c r="K134" s="21"/>
      <c r="L134" s="21"/>
      <c r="M134" s="8">
        <f t="shared" si="7"/>
        <v>3581532</v>
      </c>
      <c r="P134" s="80" t="s">
        <v>322</v>
      </c>
    </row>
    <row r="135" spans="1:16">
      <c r="A135" s="5">
        <v>51302500</v>
      </c>
      <c r="B135" s="6" t="s">
        <v>363</v>
      </c>
      <c r="C135" s="5">
        <v>51</v>
      </c>
      <c r="D135" s="43" t="s">
        <v>144</v>
      </c>
      <c r="E135" s="8">
        <v>0</v>
      </c>
      <c r="F135" s="19">
        <v>0</v>
      </c>
      <c r="G135" s="21"/>
      <c r="H135" s="21"/>
      <c r="I135" s="8">
        <f t="shared" si="8"/>
        <v>0</v>
      </c>
      <c r="J135" s="19">
        <v>3683589</v>
      </c>
      <c r="K135" s="21"/>
      <c r="L135" s="21"/>
      <c r="M135" s="8">
        <f t="shared" si="7"/>
        <v>3683589</v>
      </c>
      <c r="P135" s="80" t="s">
        <v>322</v>
      </c>
    </row>
    <row r="136" spans="1:16">
      <c r="A136" s="5">
        <v>51304000</v>
      </c>
      <c r="B136" s="5" t="s">
        <v>85</v>
      </c>
      <c r="C136" s="5">
        <v>51</v>
      </c>
      <c r="D136" s="43" t="s">
        <v>144</v>
      </c>
      <c r="E136" s="8">
        <v>2363716</v>
      </c>
      <c r="F136" s="19">
        <v>2857833</v>
      </c>
      <c r="G136" s="21"/>
      <c r="H136" s="21"/>
      <c r="I136" s="8">
        <f t="shared" si="8"/>
        <v>2857833</v>
      </c>
      <c r="J136" s="19">
        <v>2682899</v>
      </c>
      <c r="K136" s="21"/>
      <c r="L136" s="21"/>
      <c r="M136" s="8">
        <f t="shared" si="7"/>
        <v>2682899</v>
      </c>
      <c r="P136" s="80" t="s">
        <v>322</v>
      </c>
    </row>
    <row r="137" spans="1:16">
      <c r="A137" s="5">
        <v>51306000</v>
      </c>
      <c r="B137" s="5" t="s">
        <v>171</v>
      </c>
      <c r="C137" s="5">
        <v>51</v>
      </c>
      <c r="D137" s="43" t="s">
        <v>144</v>
      </c>
      <c r="E137" s="8">
        <v>12142499</v>
      </c>
      <c r="F137" s="19">
        <v>10951936.27</v>
      </c>
      <c r="G137" s="21"/>
      <c r="H137" s="21"/>
      <c r="I137" s="8">
        <f t="shared" si="8"/>
        <v>10951936.27</v>
      </c>
      <c r="J137" s="19">
        <v>2550000</v>
      </c>
      <c r="K137" s="21"/>
      <c r="L137" s="21"/>
      <c r="M137" s="8">
        <f t="shared" si="7"/>
        <v>2550000</v>
      </c>
      <c r="P137" s="80" t="s">
        <v>322</v>
      </c>
    </row>
    <row r="138" spans="1:16">
      <c r="A138" s="5">
        <v>51309500</v>
      </c>
      <c r="B138" s="5" t="s">
        <v>172</v>
      </c>
      <c r="C138" s="5">
        <v>51</v>
      </c>
      <c r="D138" s="43" t="s">
        <v>144</v>
      </c>
      <c r="E138" s="8">
        <v>50103162</v>
      </c>
      <c r="F138" s="19">
        <v>33570431</v>
      </c>
      <c r="G138" s="21"/>
      <c r="H138" s="21"/>
      <c r="I138" s="8">
        <f t="shared" si="8"/>
        <v>33570431</v>
      </c>
      <c r="J138" s="19">
        <v>7366457</v>
      </c>
      <c r="K138" s="21"/>
      <c r="L138" s="21"/>
      <c r="M138" s="8">
        <f t="shared" si="7"/>
        <v>7366457</v>
      </c>
      <c r="P138" s="80" t="s">
        <v>322</v>
      </c>
    </row>
    <row r="139" spans="1:16">
      <c r="A139" s="5">
        <v>51350510</v>
      </c>
      <c r="B139" s="5" t="s">
        <v>86</v>
      </c>
      <c r="C139" s="5">
        <v>51</v>
      </c>
      <c r="D139" s="43" t="s">
        <v>144</v>
      </c>
      <c r="E139" s="8">
        <v>20309719</v>
      </c>
      <c r="F139" s="19">
        <v>0</v>
      </c>
      <c r="G139" s="21"/>
      <c r="H139" s="21"/>
      <c r="I139" s="8">
        <f t="shared" si="8"/>
        <v>0</v>
      </c>
      <c r="J139" s="19">
        <v>0</v>
      </c>
      <c r="K139" s="21"/>
      <c r="L139" s="21"/>
      <c r="M139" s="8">
        <f t="shared" si="7"/>
        <v>0</v>
      </c>
      <c r="P139" s="80" t="s">
        <v>324</v>
      </c>
    </row>
    <row r="140" spans="1:16">
      <c r="A140" s="5">
        <v>51351000</v>
      </c>
      <c r="B140" s="5" t="s">
        <v>87</v>
      </c>
      <c r="C140" s="5">
        <v>51</v>
      </c>
      <c r="D140" s="43" t="s">
        <v>144</v>
      </c>
      <c r="E140" s="8">
        <v>1500222</v>
      </c>
      <c r="F140" s="19">
        <v>0</v>
      </c>
      <c r="G140" s="21"/>
      <c r="H140" s="21"/>
      <c r="I140" s="8">
        <f t="shared" si="8"/>
        <v>0</v>
      </c>
      <c r="J140" s="19">
        <v>0</v>
      </c>
      <c r="K140" s="21"/>
      <c r="L140" s="21"/>
      <c r="M140" s="8">
        <f t="shared" si="7"/>
        <v>0</v>
      </c>
      <c r="P140" s="80" t="s">
        <v>324</v>
      </c>
    </row>
    <row r="141" spans="1:16">
      <c r="A141" s="5">
        <v>51351500</v>
      </c>
      <c r="B141" s="5" t="s">
        <v>88</v>
      </c>
      <c r="C141" s="5">
        <v>51</v>
      </c>
      <c r="D141" s="43" t="s">
        <v>144</v>
      </c>
      <c r="E141" s="8">
        <v>15051949</v>
      </c>
      <c r="F141" s="19">
        <v>10705585.33</v>
      </c>
      <c r="G141" s="21"/>
      <c r="H141" s="21"/>
      <c r="I141" s="8">
        <f t="shared" si="8"/>
        <v>10705585.33</v>
      </c>
      <c r="J141" s="19">
        <v>42503024.460000001</v>
      </c>
      <c r="K141" s="21"/>
      <c r="L141" s="21"/>
      <c r="M141" s="8">
        <f t="shared" si="7"/>
        <v>42503024.460000001</v>
      </c>
      <c r="P141" s="80" t="s">
        <v>324</v>
      </c>
    </row>
    <row r="142" spans="1:16">
      <c r="A142" s="5">
        <v>51352500</v>
      </c>
      <c r="B142" s="5" t="s">
        <v>89</v>
      </c>
      <c r="C142" s="5">
        <v>51</v>
      </c>
      <c r="D142" s="43" t="s">
        <v>144</v>
      </c>
      <c r="E142" s="8">
        <v>632063</v>
      </c>
      <c r="F142" s="19">
        <v>490586</v>
      </c>
      <c r="G142" s="21"/>
      <c r="H142" s="21"/>
      <c r="I142" s="8">
        <f t="shared" si="8"/>
        <v>490586</v>
      </c>
      <c r="J142" s="19">
        <v>1248810</v>
      </c>
      <c r="K142" s="21"/>
      <c r="L142" s="21"/>
      <c r="M142" s="8">
        <f t="shared" si="7"/>
        <v>1248810</v>
      </c>
      <c r="P142" s="80" t="s">
        <v>324</v>
      </c>
    </row>
    <row r="143" spans="1:16">
      <c r="A143" s="5">
        <v>51353000</v>
      </c>
      <c r="B143" s="5" t="s">
        <v>90</v>
      </c>
      <c r="C143" s="5">
        <v>51</v>
      </c>
      <c r="D143" s="43" t="s">
        <v>144</v>
      </c>
      <c r="E143" s="8">
        <v>6586463</v>
      </c>
      <c r="F143" s="19">
        <v>3128341</v>
      </c>
      <c r="G143" s="21"/>
      <c r="H143" s="21"/>
      <c r="I143" s="8">
        <f t="shared" si="8"/>
        <v>3128341</v>
      </c>
      <c r="J143" s="19">
        <v>3692349</v>
      </c>
      <c r="K143" s="21"/>
      <c r="L143" s="21"/>
      <c r="M143" s="8">
        <f t="shared" si="7"/>
        <v>3692349</v>
      </c>
      <c r="P143" s="80" t="s">
        <v>324</v>
      </c>
    </row>
    <row r="144" spans="1:16">
      <c r="A144" s="5">
        <v>51353500</v>
      </c>
      <c r="B144" s="5" t="s">
        <v>91</v>
      </c>
      <c r="C144" s="5">
        <v>51</v>
      </c>
      <c r="D144" s="43" t="s">
        <v>144</v>
      </c>
      <c r="E144" s="8">
        <v>41333756</v>
      </c>
      <c r="F144" s="19">
        <v>45255333.340000004</v>
      </c>
      <c r="G144" s="21"/>
      <c r="H144" s="21"/>
      <c r="I144" s="8">
        <f t="shared" si="8"/>
        <v>45255333.340000004</v>
      </c>
      <c r="J144" s="19">
        <v>50001235</v>
      </c>
      <c r="K144" s="21"/>
      <c r="L144" s="21"/>
      <c r="M144" s="8">
        <f t="shared" si="7"/>
        <v>50001235</v>
      </c>
      <c r="P144" s="80" t="s">
        <v>324</v>
      </c>
    </row>
    <row r="145" spans="1:16">
      <c r="A145" s="5">
        <v>51354000</v>
      </c>
      <c r="B145" s="5" t="s">
        <v>173</v>
      </c>
      <c r="C145" s="5">
        <v>51</v>
      </c>
      <c r="D145" s="43" t="s">
        <v>144</v>
      </c>
      <c r="E145" s="8">
        <v>0</v>
      </c>
      <c r="F145" s="19">
        <v>0</v>
      </c>
      <c r="G145" s="21"/>
      <c r="H145" s="21"/>
      <c r="I145" s="8">
        <f t="shared" si="8"/>
        <v>0</v>
      </c>
      <c r="J145" s="19">
        <v>92800</v>
      </c>
      <c r="K145" s="21"/>
      <c r="L145" s="21"/>
      <c r="M145" s="8">
        <f t="shared" si="7"/>
        <v>92800</v>
      </c>
      <c r="P145" s="80" t="s">
        <v>324</v>
      </c>
    </row>
    <row r="146" spans="1:16">
      <c r="A146" s="5">
        <v>51355000</v>
      </c>
      <c r="B146" s="5" t="s">
        <v>92</v>
      </c>
      <c r="C146" s="5">
        <v>51</v>
      </c>
      <c r="D146" s="43" t="s">
        <v>144</v>
      </c>
      <c r="E146" s="8">
        <v>5412897</v>
      </c>
      <c r="F146" s="19">
        <v>1150387</v>
      </c>
      <c r="G146" s="21"/>
      <c r="H146" s="21"/>
      <c r="I146" s="8">
        <f t="shared" si="8"/>
        <v>1150387</v>
      </c>
      <c r="J146" s="19">
        <v>3108000</v>
      </c>
      <c r="K146" s="21"/>
      <c r="L146" s="21"/>
      <c r="M146" s="8">
        <f t="shared" si="7"/>
        <v>3108000</v>
      </c>
      <c r="P146" s="80" t="s">
        <v>324</v>
      </c>
    </row>
    <row r="147" spans="1:16">
      <c r="A147" s="5">
        <v>51355500</v>
      </c>
      <c r="B147" s="6" t="s">
        <v>93</v>
      </c>
      <c r="C147" s="5">
        <v>51</v>
      </c>
      <c r="D147" s="43" t="s">
        <v>144</v>
      </c>
      <c r="E147" s="8">
        <v>0</v>
      </c>
      <c r="F147" s="19">
        <v>0</v>
      </c>
      <c r="G147" s="21"/>
      <c r="H147" s="21"/>
      <c r="I147" s="8">
        <f t="shared" si="8"/>
        <v>0</v>
      </c>
      <c r="J147" s="19">
        <v>0</v>
      </c>
      <c r="K147" s="21"/>
      <c r="L147" s="21"/>
      <c r="M147" s="8">
        <f t="shared" si="7"/>
        <v>0</v>
      </c>
      <c r="P147" s="80" t="s">
        <v>324</v>
      </c>
    </row>
    <row r="148" spans="1:16">
      <c r="A148" s="5">
        <v>51359500</v>
      </c>
      <c r="B148" s="5" t="s">
        <v>94</v>
      </c>
      <c r="C148" s="5">
        <v>51</v>
      </c>
      <c r="D148" s="43" t="s">
        <v>144</v>
      </c>
      <c r="E148" s="8">
        <v>5280608</v>
      </c>
      <c r="F148" s="19">
        <v>3200000</v>
      </c>
      <c r="G148" s="21"/>
      <c r="H148" s="21"/>
      <c r="I148" s="8">
        <f t="shared" si="8"/>
        <v>3200000</v>
      </c>
      <c r="J148" s="19">
        <v>0</v>
      </c>
      <c r="K148" s="21"/>
      <c r="L148" s="21"/>
      <c r="M148" s="8">
        <f t="shared" si="7"/>
        <v>0</v>
      </c>
      <c r="P148" s="80" t="s">
        <v>324</v>
      </c>
    </row>
    <row r="149" spans="1:16">
      <c r="A149" s="5">
        <v>51400500</v>
      </c>
      <c r="B149" s="5" t="s">
        <v>95</v>
      </c>
      <c r="C149" s="5">
        <v>51</v>
      </c>
      <c r="D149" s="43" t="s">
        <v>144</v>
      </c>
      <c r="E149" s="8">
        <v>27769761</v>
      </c>
      <c r="F149" s="19">
        <v>40169236.420000002</v>
      </c>
      <c r="G149" s="21"/>
      <c r="H149" s="21"/>
      <c r="I149" s="8">
        <f t="shared" si="8"/>
        <v>40169236.420000002</v>
      </c>
      <c r="J149" s="19">
        <v>1925799</v>
      </c>
      <c r="K149" s="21"/>
      <c r="L149" s="21"/>
      <c r="M149" s="8">
        <f t="shared" si="7"/>
        <v>1925799</v>
      </c>
      <c r="P149" s="80" t="s">
        <v>328</v>
      </c>
    </row>
    <row r="150" spans="1:16">
      <c r="A150" s="5">
        <v>51401000</v>
      </c>
      <c r="B150" s="5" t="s">
        <v>96</v>
      </c>
      <c r="C150" s="5">
        <v>51</v>
      </c>
      <c r="D150" s="43" t="s">
        <v>144</v>
      </c>
      <c r="E150" s="8">
        <v>1923200</v>
      </c>
      <c r="F150" s="19">
        <v>5800</v>
      </c>
      <c r="G150" s="21"/>
      <c r="H150" s="21"/>
      <c r="I150" s="8">
        <f t="shared" si="8"/>
        <v>5800</v>
      </c>
      <c r="J150" s="19">
        <v>2115100</v>
      </c>
      <c r="K150" s="21"/>
      <c r="L150" s="21"/>
      <c r="M150" s="8">
        <f t="shared" si="7"/>
        <v>2115100</v>
      </c>
      <c r="P150" s="80" t="s">
        <v>328</v>
      </c>
    </row>
    <row r="151" spans="1:16">
      <c r="A151" s="5">
        <v>51451500</v>
      </c>
      <c r="B151" s="5" t="s">
        <v>97</v>
      </c>
      <c r="C151" s="5">
        <v>51</v>
      </c>
      <c r="D151" s="43" t="s">
        <v>144</v>
      </c>
      <c r="E151" s="8">
        <v>40710456</v>
      </c>
      <c r="F151" s="19">
        <v>40533447.210000001</v>
      </c>
      <c r="G151" s="21"/>
      <c r="H151" s="21"/>
      <c r="I151" s="8">
        <f t="shared" si="8"/>
        <v>40533447.210000001</v>
      </c>
      <c r="J151" s="19">
        <v>43619850</v>
      </c>
      <c r="K151" s="21"/>
      <c r="L151" s="21"/>
      <c r="M151" s="8">
        <f t="shared" si="7"/>
        <v>43619850</v>
      </c>
      <c r="P151" s="80" t="s">
        <v>329</v>
      </c>
    </row>
    <row r="152" spans="1:16">
      <c r="A152" s="5">
        <v>51452000</v>
      </c>
      <c r="B152" s="5" t="s">
        <v>98</v>
      </c>
      <c r="C152" s="5">
        <v>51</v>
      </c>
      <c r="D152" s="43" t="s">
        <v>144</v>
      </c>
      <c r="E152" s="8">
        <v>5675212</v>
      </c>
      <c r="F152" s="19">
        <v>0</v>
      </c>
      <c r="G152" s="21"/>
      <c r="H152" s="21"/>
      <c r="I152" s="8">
        <f t="shared" si="8"/>
        <v>0</v>
      </c>
      <c r="J152" s="19">
        <v>0</v>
      </c>
      <c r="K152" s="21"/>
      <c r="L152" s="21"/>
      <c r="M152" s="8">
        <f t="shared" si="7"/>
        <v>0</v>
      </c>
      <c r="P152" s="80" t="s">
        <v>329</v>
      </c>
    </row>
    <row r="153" spans="1:16">
      <c r="A153" s="5">
        <v>51454000</v>
      </c>
      <c r="B153" s="5" t="s">
        <v>99</v>
      </c>
      <c r="C153" s="5">
        <v>51</v>
      </c>
      <c r="D153" s="43" t="s">
        <v>144</v>
      </c>
      <c r="E153" s="8">
        <v>4449579</v>
      </c>
      <c r="F153" s="19">
        <v>0</v>
      </c>
      <c r="G153" s="21"/>
      <c r="H153" s="21"/>
      <c r="I153" s="8">
        <f t="shared" si="8"/>
        <v>0</v>
      </c>
      <c r="J153" s="19">
        <v>0</v>
      </c>
      <c r="K153" s="21"/>
      <c r="L153" s="21"/>
      <c r="M153" s="8">
        <f t="shared" si="7"/>
        <v>0</v>
      </c>
      <c r="P153" s="80" t="s">
        <v>329</v>
      </c>
    </row>
    <row r="154" spans="1:16">
      <c r="A154" s="5">
        <v>51550500</v>
      </c>
      <c r="B154" s="5" t="s">
        <v>100</v>
      </c>
      <c r="C154" s="5">
        <v>51</v>
      </c>
      <c r="D154" s="43" t="s">
        <v>144</v>
      </c>
      <c r="E154" s="8">
        <v>13634961</v>
      </c>
      <c r="F154" s="19">
        <v>13106526</v>
      </c>
      <c r="G154" s="21"/>
      <c r="H154" s="21"/>
      <c r="I154" s="8">
        <f t="shared" si="8"/>
        <v>13106526</v>
      </c>
      <c r="J154" s="19">
        <v>7272166</v>
      </c>
      <c r="K154" s="21"/>
      <c r="L154" s="21"/>
      <c r="M154" s="8">
        <f t="shared" si="7"/>
        <v>7272166</v>
      </c>
      <c r="P154" s="80" t="s">
        <v>320</v>
      </c>
    </row>
    <row r="155" spans="1:16">
      <c r="A155" s="5">
        <v>51551500</v>
      </c>
      <c r="B155" s="5" t="s">
        <v>101</v>
      </c>
      <c r="C155" s="5">
        <v>51</v>
      </c>
      <c r="D155" s="43" t="s">
        <v>144</v>
      </c>
      <c r="E155" s="8">
        <v>59543003</v>
      </c>
      <c r="F155" s="19">
        <v>65166569</v>
      </c>
      <c r="G155" s="21"/>
      <c r="H155" s="21"/>
      <c r="I155" s="8">
        <f t="shared" si="8"/>
        <v>65166569</v>
      </c>
      <c r="J155" s="19">
        <v>20401662</v>
      </c>
      <c r="K155" s="21"/>
      <c r="L155" s="21"/>
      <c r="M155" s="8">
        <f t="shared" si="7"/>
        <v>20401662</v>
      </c>
      <c r="P155" s="80" t="s">
        <v>320</v>
      </c>
    </row>
    <row r="156" spans="1:16">
      <c r="A156" s="5">
        <v>51552000</v>
      </c>
      <c r="B156" s="5" t="s">
        <v>174</v>
      </c>
      <c r="C156" s="5">
        <v>51</v>
      </c>
      <c r="D156" s="43" t="s">
        <v>144</v>
      </c>
      <c r="E156" s="8">
        <v>149468637</v>
      </c>
      <c r="F156" s="19">
        <v>579570</v>
      </c>
      <c r="G156" s="21"/>
      <c r="H156" s="21"/>
      <c r="I156" s="8">
        <f t="shared" si="8"/>
        <v>579570</v>
      </c>
      <c r="J156" s="19">
        <v>24483259</v>
      </c>
      <c r="K156" s="21"/>
      <c r="L156" s="21"/>
      <c r="M156" s="8">
        <f t="shared" ref="M156:M194" si="9">J156+K156-L156</f>
        <v>24483259</v>
      </c>
      <c r="P156" s="80" t="s">
        <v>320</v>
      </c>
    </row>
    <row r="157" spans="1:16">
      <c r="A157" s="5">
        <v>51600500</v>
      </c>
      <c r="B157" s="5" t="s">
        <v>102</v>
      </c>
      <c r="C157" s="5">
        <v>51</v>
      </c>
      <c r="D157" s="43" t="s">
        <v>144</v>
      </c>
      <c r="E157" s="8">
        <v>39560826.240000002</v>
      </c>
      <c r="F157" s="19">
        <v>18098730.620000001</v>
      </c>
      <c r="G157" s="21"/>
      <c r="H157" s="21"/>
      <c r="I157" s="8">
        <f t="shared" si="8"/>
        <v>18098730.620000001</v>
      </c>
      <c r="J157" s="19">
        <v>0</v>
      </c>
      <c r="K157" s="21"/>
      <c r="L157" s="21"/>
      <c r="M157" s="8">
        <f t="shared" si="9"/>
        <v>0</v>
      </c>
      <c r="P157" s="80" t="s">
        <v>323</v>
      </c>
    </row>
    <row r="158" spans="1:16">
      <c r="A158" s="5">
        <v>51601000</v>
      </c>
      <c r="B158" s="5" t="s">
        <v>103</v>
      </c>
      <c r="C158" s="5">
        <v>51</v>
      </c>
      <c r="D158" s="43" t="s">
        <v>144</v>
      </c>
      <c r="E158" s="8">
        <v>30884355</v>
      </c>
      <c r="F158" s="19">
        <v>0</v>
      </c>
      <c r="G158" s="21"/>
      <c r="H158" s="21"/>
      <c r="I158" s="8">
        <f t="shared" si="8"/>
        <v>0</v>
      </c>
      <c r="J158" s="19">
        <v>0</v>
      </c>
      <c r="K158" s="21"/>
      <c r="L158" s="21"/>
      <c r="M158" s="8">
        <f t="shared" si="9"/>
        <v>0</v>
      </c>
      <c r="P158" s="80" t="s">
        <v>323</v>
      </c>
    </row>
    <row r="159" spans="1:16">
      <c r="A159" s="5">
        <v>51601500</v>
      </c>
      <c r="B159" s="5" t="s">
        <v>104</v>
      </c>
      <c r="C159" s="5">
        <v>51</v>
      </c>
      <c r="D159" s="43" t="s">
        <v>144</v>
      </c>
      <c r="E159" s="8">
        <v>12418941</v>
      </c>
      <c r="F159" s="19">
        <v>25125337.68</v>
      </c>
      <c r="G159" s="21"/>
      <c r="H159" s="21"/>
      <c r="I159" s="8">
        <f t="shared" si="8"/>
        <v>25125337.68</v>
      </c>
      <c r="J159" s="19">
        <v>17680370.579999998</v>
      </c>
      <c r="K159" s="21"/>
      <c r="L159" s="21"/>
      <c r="M159" s="8">
        <f t="shared" si="9"/>
        <v>17680370.579999998</v>
      </c>
      <c r="P159" s="80" t="s">
        <v>323</v>
      </c>
    </row>
    <row r="160" spans="1:16">
      <c r="A160" s="5">
        <v>51603500</v>
      </c>
      <c r="B160" s="5" t="s">
        <v>105</v>
      </c>
      <c r="C160" s="5">
        <v>51</v>
      </c>
      <c r="D160" s="43" t="s">
        <v>144</v>
      </c>
      <c r="E160" s="8">
        <v>35649253</v>
      </c>
      <c r="F160" s="19">
        <v>0</v>
      </c>
      <c r="G160" s="21"/>
      <c r="H160" s="21"/>
      <c r="I160" s="8">
        <f t="shared" si="8"/>
        <v>0</v>
      </c>
      <c r="J160" s="19">
        <v>0</v>
      </c>
      <c r="K160" s="21"/>
      <c r="L160" s="21"/>
      <c r="M160" s="8">
        <f t="shared" si="9"/>
        <v>0</v>
      </c>
      <c r="P160" s="80" t="s">
        <v>323</v>
      </c>
    </row>
    <row r="161" spans="1:16">
      <c r="A161" s="5">
        <v>51605000</v>
      </c>
      <c r="B161" s="5" t="s">
        <v>192</v>
      </c>
      <c r="C161" s="5">
        <v>51</v>
      </c>
      <c r="D161" s="43" t="s">
        <v>144</v>
      </c>
      <c r="E161" s="8">
        <v>7245636.6200000001</v>
      </c>
      <c r="F161" s="19">
        <v>0</v>
      </c>
      <c r="G161" s="21"/>
      <c r="H161" s="21"/>
      <c r="I161" s="8">
        <f t="shared" ref="I161" si="10">F161+G161-H161</f>
        <v>0</v>
      </c>
      <c r="J161" s="19">
        <v>0</v>
      </c>
      <c r="K161" s="21"/>
      <c r="L161" s="21"/>
      <c r="M161" s="8">
        <f t="shared" si="9"/>
        <v>0</v>
      </c>
      <c r="P161" s="80" t="s">
        <v>323</v>
      </c>
    </row>
    <row r="162" spans="1:16">
      <c r="A162" s="5">
        <v>51651001</v>
      </c>
      <c r="B162" s="5" t="s">
        <v>106</v>
      </c>
      <c r="C162" s="5">
        <v>51</v>
      </c>
      <c r="D162" s="43" t="s">
        <v>144</v>
      </c>
      <c r="E162" s="8">
        <v>6031197</v>
      </c>
      <c r="F162" s="19">
        <v>6550479.2699999996</v>
      </c>
      <c r="G162" s="21"/>
      <c r="H162" s="21"/>
      <c r="I162" s="8">
        <f t="shared" si="8"/>
        <v>6550479.2699999996</v>
      </c>
      <c r="J162" s="19">
        <v>32742294.969999999</v>
      </c>
      <c r="K162" s="21"/>
      <c r="L162" s="21"/>
      <c r="M162" s="8">
        <f t="shared" si="9"/>
        <v>32742294.969999999</v>
      </c>
      <c r="P162" s="80" t="s">
        <v>330</v>
      </c>
    </row>
    <row r="163" spans="1:16">
      <c r="A163" s="5">
        <v>51651002</v>
      </c>
      <c r="B163" s="5" t="s">
        <v>364</v>
      </c>
      <c r="C163" s="5">
        <v>51</v>
      </c>
      <c r="D163" s="43" t="s">
        <v>144</v>
      </c>
      <c r="E163" s="8">
        <v>0</v>
      </c>
      <c r="F163" s="19">
        <v>0</v>
      </c>
      <c r="G163" s="21"/>
      <c r="H163" s="21"/>
      <c r="I163" s="8">
        <f t="shared" si="8"/>
        <v>0</v>
      </c>
      <c r="J163" s="19">
        <v>1207605.8799999999</v>
      </c>
      <c r="K163" s="21"/>
      <c r="L163" s="21"/>
      <c r="M163" s="8">
        <f t="shared" si="9"/>
        <v>1207605.8799999999</v>
      </c>
      <c r="P163" s="80" t="s">
        <v>330</v>
      </c>
    </row>
    <row r="164" spans="1:16">
      <c r="A164" s="5">
        <v>51951000</v>
      </c>
      <c r="B164" s="5" t="s">
        <v>107</v>
      </c>
      <c r="C164" s="5">
        <v>51</v>
      </c>
      <c r="D164" s="43" t="s">
        <v>144</v>
      </c>
      <c r="E164" s="8">
        <v>4650000</v>
      </c>
      <c r="F164" s="19">
        <v>30716510.43</v>
      </c>
      <c r="G164" s="21"/>
      <c r="H164" s="21"/>
      <c r="I164" s="8">
        <f t="shared" si="8"/>
        <v>30716510.43</v>
      </c>
      <c r="J164" s="19">
        <v>25374600</v>
      </c>
      <c r="K164" s="21"/>
      <c r="L164" s="21"/>
      <c r="M164" s="8">
        <f t="shared" si="9"/>
        <v>25374600</v>
      </c>
      <c r="P164" s="80" t="s">
        <v>331</v>
      </c>
    </row>
    <row r="165" spans="1:16">
      <c r="A165" s="5">
        <v>51952000</v>
      </c>
      <c r="B165" s="5" t="s">
        <v>108</v>
      </c>
      <c r="C165" s="5">
        <v>51</v>
      </c>
      <c r="D165" s="43" t="s">
        <v>144</v>
      </c>
      <c r="E165" s="8">
        <v>4777000</v>
      </c>
      <c r="F165" s="19">
        <v>2848767</v>
      </c>
      <c r="G165" s="21"/>
      <c r="H165" s="21"/>
      <c r="I165" s="8">
        <f t="shared" si="8"/>
        <v>2848767</v>
      </c>
      <c r="J165" s="19">
        <v>3284000</v>
      </c>
      <c r="K165" s="21"/>
      <c r="L165" s="21"/>
      <c r="M165" s="8">
        <f t="shared" si="9"/>
        <v>3284000</v>
      </c>
      <c r="P165" s="80" t="s">
        <v>331</v>
      </c>
    </row>
    <row r="166" spans="1:16">
      <c r="A166" s="5">
        <v>51952500</v>
      </c>
      <c r="B166" s="5" t="s">
        <v>109</v>
      </c>
      <c r="C166" s="5">
        <v>51</v>
      </c>
      <c r="D166" s="43" t="s">
        <v>144</v>
      </c>
      <c r="E166" s="8">
        <v>9307291</v>
      </c>
      <c r="F166" s="19">
        <v>18177267.129999999</v>
      </c>
      <c r="G166" s="21"/>
      <c r="H166" s="21"/>
      <c r="I166" s="8">
        <f t="shared" si="8"/>
        <v>18177267.129999999</v>
      </c>
      <c r="J166" s="19">
        <v>3873547</v>
      </c>
      <c r="K166" s="21"/>
      <c r="L166" s="21"/>
      <c r="M166" s="8">
        <f t="shared" si="9"/>
        <v>3873547</v>
      </c>
      <c r="P166" s="80" t="s">
        <v>331</v>
      </c>
    </row>
    <row r="167" spans="1:16">
      <c r="A167" s="5">
        <v>51953000</v>
      </c>
      <c r="B167" s="5" t="s">
        <v>110</v>
      </c>
      <c r="C167" s="5">
        <v>51</v>
      </c>
      <c r="D167" s="43" t="s">
        <v>144</v>
      </c>
      <c r="E167" s="8">
        <v>7523725</v>
      </c>
      <c r="F167" s="19">
        <v>9323397.1899999995</v>
      </c>
      <c r="G167" s="21"/>
      <c r="H167" s="21"/>
      <c r="I167" s="8">
        <f t="shared" si="8"/>
        <v>9323397.1899999995</v>
      </c>
      <c r="J167" s="19">
        <v>8159759</v>
      </c>
      <c r="K167" s="21"/>
      <c r="L167" s="21"/>
      <c r="M167" s="8">
        <f t="shared" si="9"/>
        <v>8159759</v>
      </c>
      <c r="P167" s="80" t="s">
        <v>331</v>
      </c>
    </row>
    <row r="168" spans="1:16">
      <c r="A168" s="5">
        <v>51953500</v>
      </c>
      <c r="B168" s="5" t="s">
        <v>111</v>
      </c>
      <c r="C168" s="5">
        <v>51</v>
      </c>
      <c r="D168" s="43" t="s">
        <v>144</v>
      </c>
      <c r="E168" s="8">
        <v>14483187</v>
      </c>
      <c r="F168" s="19">
        <v>12918253</v>
      </c>
      <c r="G168" s="21"/>
      <c r="H168" s="21"/>
      <c r="I168" s="8">
        <f t="shared" si="8"/>
        <v>12918253</v>
      </c>
      <c r="J168" s="19">
        <v>6867286</v>
      </c>
      <c r="K168" s="21"/>
      <c r="L168" s="21"/>
      <c r="M168" s="8">
        <f t="shared" si="9"/>
        <v>6867286</v>
      </c>
      <c r="P168" s="80" t="s">
        <v>334</v>
      </c>
    </row>
    <row r="169" spans="1:16">
      <c r="A169" s="5">
        <v>51954500</v>
      </c>
      <c r="B169" s="5" t="s">
        <v>175</v>
      </c>
      <c r="C169" s="5">
        <v>51</v>
      </c>
      <c r="D169" s="43" t="s">
        <v>144</v>
      </c>
      <c r="E169" s="8">
        <v>48519952</v>
      </c>
      <c r="F169" s="19">
        <v>41962093.07</v>
      </c>
      <c r="G169" s="21"/>
      <c r="H169" s="21"/>
      <c r="I169" s="8">
        <f t="shared" si="8"/>
        <v>41962093.07</v>
      </c>
      <c r="J169" s="19">
        <v>12552839.99</v>
      </c>
      <c r="K169" s="21"/>
      <c r="L169" s="21"/>
      <c r="M169" s="8">
        <f t="shared" si="9"/>
        <v>12552839.99</v>
      </c>
      <c r="P169" s="80" t="s">
        <v>332</v>
      </c>
    </row>
    <row r="170" spans="1:16">
      <c r="A170" s="5">
        <v>51956000</v>
      </c>
      <c r="B170" s="5" t="s">
        <v>112</v>
      </c>
      <c r="C170" s="5">
        <v>51</v>
      </c>
      <c r="D170" s="43" t="s">
        <v>144</v>
      </c>
      <c r="E170" s="8">
        <v>19302488</v>
      </c>
      <c r="F170" s="19">
        <v>15422366.75</v>
      </c>
      <c r="G170" s="21"/>
      <c r="H170" s="21"/>
      <c r="I170" s="8">
        <f t="shared" ref="I170:I194" si="11">F170+G170-H170</f>
        <v>15422366.75</v>
      </c>
      <c r="J170" s="19">
        <v>4999431</v>
      </c>
      <c r="K170" s="21"/>
      <c r="L170" s="21"/>
      <c r="M170" s="8">
        <f t="shared" si="9"/>
        <v>4999431</v>
      </c>
      <c r="P170" s="80" t="s">
        <v>333</v>
      </c>
    </row>
    <row r="171" spans="1:16">
      <c r="A171" s="5">
        <v>51959503</v>
      </c>
      <c r="B171" s="5" t="s">
        <v>365</v>
      </c>
      <c r="C171" s="5">
        <v>51</v>
      </c>
      <c r="D171" s="43" t="s">
        <v>144</v>
      </c>
      <c r="E171" s="8">
        <v>0</v>
      </c>
      <c r="F171" s="19">
        <v>0</v>
      </c>
      <c r="G171" s="21"/>
      <c r="H171" s="21"/>
      <c r="I171" s="8">
        <f t="shared" si="11"/>
        <v>0</v>
      </c>
      <c r="J171" s="19">
        <v>2975000</v>
      </c>
      <c r="K171" s="21"/>
      <c r="L171" s="21"/>
      <c r="M171" s="8">
        <f t="shared" si="9"/>
        <v>2975000</v>
      </c>
      <c r="P171" s="80" t="s">
        <v>331</v>
      </c>
    </row>
    <row r="172" spans="1:16">
      <c r="A172" s="5">
        <v>52157099</v>
      </c>
      <c r="B172" s="5" t="s">
        <v>176</v>
      </c>
      <c r="C172" s="5">
        <v>51</v>
      </c>
      <c r="D172" s="43" t="s">
        <v>144</v>
      </c>
      <c r="E172" s="8">
        <v>11794</v>
      </c>
      <c r="F172" s="19">
        <v>0</v>
      </c>
      <c r="G172" s="21"/>
      <c r="H172" s="21"/>
      <c r="I172" s="8">
        <f t="shared" si="11"/>
        <v>0</v>
      </c>
      <c r="J172" s="19">
        <v>0</v>
      </c>
      <c r="K172" s="21"/>
      <c r="L172" s="21"/>
      <c r="M172" s="8">
        <f t="shared" si="9"/>
        <v>0</v>
      </c>
      <c r="P172" s="81" t="s">
        <v>325</v>
      </c>
    </row>
    <row r="173" spans="1:16">
      <c r="A173" s="5">
        <v>53050500</v>
      </c>
      <c r="B173" s="5" t="s">
        <v>113</v>
      </c>
      <c r="C173" s="6">
        <v>53</v>
      </c>
      <c r="D173" s="43" t="s">
        <v>145</v>
      </c>
      <c r="E173" s="8">
        <v>1216694</v>
      </c>
      <c r="F173" s="19">
        <v>1809343.3</v>
      </c>
      <c r="G173" s="21"/>
      <c r="H173" s="21"/>
      <c r="I173" s="8">
        <f t="shared" si="11"/>
        <v>1809343.3</v>
      </c>
      <c r="J173" s="19">
        <v>20089597.23</v>
      </c>
      <c r="K173" s="21"/>
      <c r="L173" s="21"/>
      <c r="M173" s="8">
        <f t="shared" si="9"/>
        <v>20089597.23</v>
      </c>
    </row>
    <row r="174" spans="1:16">
      <c r="A174" s="5">
        <v>53051500</v>
      </c>
      <c r="B174" s="5" t="s">
        <v>114</v>
      </c>
      <c r="C174" s="6">
        <v>53</v>
      </c>
      <c r="D174" s="43" t="s">
        <v>145</v>
      </c>
      <c r="E174" s="8">
        <v>7585235</v>
      </c>
      <c r="F174" s="19">
        <v>10303414.449999999</v>
      </c>
      <c r="G174" s="21"/>
      <c r="H174" s="21"/>
      <c r="I174" s="8">
        <f t="shared" si="11"/>
        <v>10303414.449999999</v>
      </c>
      <c r="J174" s="19">
        <v>6087116</v>
      </c>
      <c r="K174" s="21"/>
      <c r="L174" s="21"/>
      <c r="M174" s="8">
        <f t="shared" si="9"/>
        <v>6087116</v>
      </c>
    </row>
    <row r="175" spans="1:16">
      <c r="A175" s="5">
        <v>53052000</v>
      </c>
      <c r="B175" s="5" t="s">
        <v>115</v>
      </c>
      <c r="C175" s="6">
        <v>53</v>
      </c>
      <c r="D175" s="43" t="s">
        <v>145</v>
      </c>
      <c r="E175" s="8">
        <v>703383347</v>
      </c>
      <c r="F175" s="19">
        <v>686534122.95000005</v>
      </c>
      <c r="G175" s="21"/>
      <c r="H175" s="21"/>
      <c r="I175" s="8">
        <f t="shared" si="11"/>
        <v>686534122.95000005</v>
      </c>
      <c r="J175" s="19">
        <v>750329528.54999995</v>
      </c>
      <c r="K175" s="21"/>
      <c r="L175" s="21"/>
      <c r="M175" s="8">
        <f t="shared" si="9"/>
        <v>750329528.54999995</v>
      </c>
    </row>
    <row r="176" spans="1:16">
      <c r="A176" s="5">
        <v>53052001</v>
      </c>
      <c r="B176" s="5" t="s">
        <v>366</v>
      </c>
      <c r="C176" s="6">
        <v>53</v>
      </c>
      <c r="D176" s="43" t="s">
        <v>145</v>
      </c>
      <c r="E176" s="8">
        <v>47997131.450000003</v>
      </c>
      <c r="F176" s="19">
        <v>30771318.420000002</v>
      </c>
      <c r="G176" s="21"/>
      <c r="H176" s="21"/>
      <c r="I176" s="8">
        <f t="shared" ref="I176" si="12">F176+G176-H176</f>
        <v>30771318.420000002</v>
      </c>
      <c r="J176" s="19">
        <v>496428</v>
      </c>
      <c r="K176" s="21"/>
      <c r="L176" s="21"/>
      <c r="M176" s="8">
        <f t="shared" si="9"/>
        <v>496428</v>
      </c>
    </row>
    <row r="177" spans="1:13">
      <c r="A177" s="5">
        <v>53052500</v>
      </c>
      <c r="B177" s="5" t="s">
        <v>116</v>
      </c>
      <c r="C177" s="5">
        <v>54</v>
      </c>
      <c r="D177" s="43" t="s">
        <v>146</v>
      </c>
      <c r="E177" s="8">
        <v>284876269</v>
      </c>
      <c r="F177" s="19">
        <v>0</v>
      </c>
      <c r="G177" s="21"/>
      <c r="H177" s="21"/>
      <c r="I177" s="8">
        <f t="shared" si="11"/>
        <v>0</v>
      </c>
      <c r="J177" s="19">
        <v>137684835.72</v>
      </c>
      <c r="K177" s="21"/>
      <c r="L177" s="21"/>
      <c r="M177" s="8">
        <f t="shared" si="9"/>
        <v>137684835.72</v>
      </c>
    </row>
    <row r="178" spans="1:13">
      <c r="A178" s="5">
        <v>53151500</v>
      </c>
      <c r="B178" s="5" t="s">
        <v>117</v>
      </c>
      <c r="C178" s="5">
        <v>52</v>
      </c>
      <c r="D178" s="43" t="s">
        <v>182</v>
      </c>
      <c r="E178" s="8">
        <v>104055524</v>
      </c>
      <c r="F178" s="19">
        <v>131937908.15000001</v>
      </c>
      <c r="G178" s="21"/>
      <c r="H178" s="21"/>
      <c r="I178" s="8">
        <f t="shared" si="11"/>
        <v>131937908.15000001</v>
      </c>
      <c r="J178" s="19">
        <v>52987966.719999999</v>
      </c>
      <c r="K178" s="21"/>
      <c r="L178" s="21"/>
      <c r="M178" s="8">
        <f t="shared" si="9"/>
        <v>52987966.719999999</v>
      </c>
    </row>
    <row r="179" spans="1:13">
      <c r="A179" s="5">
        <v>53152000</v>
      </c>
      <c r="B179" s="5" t="s">
        <v>118</v>
      </c>
      <c r="C179" s="5">
        <v>52</v>
      </c>
      <c r="D179" s="43" t="s">
        <v>182</v>
      </c>
      <c r="E179" s="8">
        <v>316165</v>
      </c>
      <c r="F179" s="19">
        <v>5007</v>
      </c>
      <c r="G179" s="21"/>
      <c r="H179" s="21"/>
      <c r="I179" s="8">
        <f t="shared" si="11"/>
        <v>5007</v>
      </c>
      <c r="J179" s="19">
        <v>3040358.59</v>
      </c>
      <c r="K179" s="21"/>
      <c r="L179" s="21"/>
      <c r="M179" s="8">
        <f t="shared" si="9"/>
        <v>3040358.59</v>
      </c>
    </row>
    <row r="180" spans="1:13">
      <c r="A180" s="5">
        <v>53952000</v>
      </c>
      <c r="B180" s="5" t="s">
        <v>119</v>
      </c>
      <c r="C180" s="5">
        <v>52</v>
      </c>
      <c r="D180" s="43" t="s">
        <v>182</v>
      </c>
      <c r="E180" s="8">
        <v>1706394</v>
      </c>
      <c r="F180" s="19">
        <v>0</v>
      </c>
      <c r="G180" s="21"/>
      <c r="H180" s="21"/>
      <c r="I180" s="8">
        <f t="shared" si="11"/>
        <v>0</v>
      </c>
      <c r="J180" s="19">
        <v>358000</v>
      </c>
      <c r="K180" s="21"/>
      <c r="L180" s="21"/>
      <c r="M180" s="8">
        <f t="shared" si="9"/>
        <v>358000</v>
      </c>
    </row>
    <row r="181" spans="1:13">
      <c r="A181" s="5">
        <v>53952500</v>
      </c>
      <c r="B181" s="5" t="s">
        <v>367</v>
      </c>
      <c r="C181" s="5">
        <v>52</v>
      </c>
      <c r="D181" s="43" t="s">
        <v>182</v>
      </c>
      <c r="E181" s="8">
        <v>0</v>
      </c>
      <c r="F181" s="19">
        <v>168200</v>
      </c>
      <c r="G181" s="21"/>
      <c r="H181" s="21"/>
      <c r="I181" s="8">
        <f t="shared" si="11"/>
        <v>168200</v>
      </c>
      <c r="J181" s="19">
        <v>201840</v>
      </c>
      <c r="K181" s="21"/>
      <c r="L181" s="21"/>
      <c r="M181" s="8">
        <f t="shared" si="9"/>
        <v>201840</v>
      </c>
    </row>
    <row r="182" spans="1:13">
      <c r="A182" s="5">
        <v>53959501</v>
      </c>
      <c r="B182" s="5" t="s">
        <v>120</v>
      </c>
      <c r="C182" s="5">
        <v>52</v>
      </c>
      <c r="D182" s="43" t="s">
        <v>182</v>
      </c>
      <c r="E182" s="8">
        <v>108480</v>
      </c>
      <c r="F182" s="19">
        <v>116670.19</v>
      </c>
      <c r="G182" s="21"/>
      <c r="H182" s="21"/>
      <c r="I182" s="8">
        <f t="shared" si="11"/>
        <v>116670.19</v>
      </c>
      <c r="J182" s="19">
        <v>223646.18</v>
      </c>
      <c r="K182" s="21"/>
      <c r="L182" s="21"/>
      <c r="M182" s="8">
        <f t="shared" si="9"/>
        <v>223646.18</v>
      </c>
    </row>
    <row r="183" spans="1:13">
      <c r="A183" s="5">
        <v>53959503</v>
      </c>
      <c r="B183" s="5" t="s">
        <v>368</v>
      </c>
      <c r="C183" s="5">
        <v>52</v>
      </c>
      <c r="D183" s="43" t="s">
        <v>182</v>
      </c>
      <c r="E183" s="8">
        <v>0</v>
      </c>
      <c r="F183" s="19">
        <v>0</v>
      </c>
      <c r="G183" s="21"/>
      <c r="H183" s="21"/>
      <c r="I183" s="8">
        <f t="shared" ref="I183" si="13">F183+G183-H183</f>
        <v>0</v>
      </c>
      <c r="J183" s="19">
        <v>1675584</v>
      </c>
      <c r="K183" s="21"/>
      <c r="L183" s="21"/>
      <c r="M183" s="8">
        <f t="shared" si="9"/>
        <v>1675584</v>
      </c>
    </row>
    <row r="184" spans="1:13">
      <c r="A184" s="5">
        <v>54050500</v>
      </c>
      <c r="B184" s="5" t="s">
        <v>134</v>
      </c>
      <c r="C184" s="5">
        <v>55</v>
      </c>
      <c r="D184" s="43" t="s">
        <v>147</v>
      </c>
      <c r="E184" s="8">
        <v>154142000</v>
      </c>
      <c r="F184" s="19">
        <v>72817000</v>
      </c>
      <c r="G184" s="21"/>
      <c r="H184" s="21"/>
      <c r="I184" s="8">
        <f t="shared" si="11"/>
        <v>72817000</v>
      </c>
      <c r="J184" s="19">
        <v>25329000</v>
      </c>
      <c r="K184" s="21"/>
      <c r="L184" s="21"/>
      <c r="M184" s="8">
        <f t="shared" si="9"/>
        <v>25329000</v>
      </c>
    </row>
    <row r="185" spans="1:13" s="11" customFormat="1">
      <c r="A185" s="5">
        <v>61301001</v>
      </c>
      <c r="B185" s="5" t="s">
        <v>177</v>
      </c>
      <c r="C185" s="5">
        <v>42</v>
      </c>
      <c r="D185" s="43" t="s">
        <v>143</v>
      </c>
      <c r="E185" s="8">
        <v>2497023504</v>
      </c>
      <c r="F185" s="19">
        <v>8422473409.9700003</v>
      </c>
      <c r="G185" s="21"/>
      <c r="H185" s="21"/>
      <c r="I185" s="8">
        <f t="shared" si="11"/>
        <v>8422473409.9700003</v>
      </c>
      <c r="J185" s="19">
        <v>7343203636.6800003</v>
      </c>
      <c r="K185" s="21"/>
      <c r="L185" s="21"/>
      <c r="M185" s="8">
        <f t="shared" si="9"/>
        <v>7343203636.6800003</v>
      </c>
    </row>
    <row r="186" spans="1:13">
      <c r="A186" s="5">
        <v>61301002</v>
      </c>
      <c r="B186" s="5" t="s">
        <v>178</v>
      </c>
      <c r="C186" s="5">
        <v>42</v>
      </c>
      <c r="D186" s="43" t="s">
        <v>143</v>
      </c>
      <c r="E186" s="8">
        <v>754188972</v>
      </c>
      <c r="F186" s="19">
        <v>162940478.59999999</v>
      </c>
      <c r="G186" s="21"/>
      <c r="H186" s="21"/>
      <c r="I186" s="8">
        <f t="shared" si="11"/>
        <v>162940478.59999999</v>
      </c>
      <c r="J186" s="19">
        <v>2196966</v>
      </c>
      <c r="K186" s="21"/>
      <c r="L186" s="21"/>
      <c r="M186" s="8">
        <f t="shared" si="9"/>
        <v>2196966</v>
      </c>
    </row>
    <row r="187" spans="1:13">
      <c r="A187" s="5">
        <v>61301003</v>
      </c>
      <c r="B187" s="6" t="s">
        <v>121</v>
      </c>
      <c r="C187" s="6">
        <v>42</v>
      </c>
      <c r="D187" s="43" t="s">
        <v>143</v>
      </c>
      <c r="E187" s="8">
        <v>0</v>
      </c>
      <c r="F187" s="19">
        <v>0</v>
      </c>
      <c r="G187" s="21"/>
      <c r="H187" s="21"/>
      <c r="I187" s="8">
        <f t="shared" si="11"/>
        <v>0</v>
      </c>
      <c r="J187" s="19">
        <v>0</v>
      </c>
      <c r="K187" s="21"/>
      <c r="L187" s="21"/>
      <c r="M187" s="8">
        <f t="shared" si="9"/>
        <v>0</v>
      </c>
    </row>
    <row r="188" spans="1:13">
      <c r="A188" s="5">
        <v>61359500</v>
      </c>
      <c r="B188" s="5" t="s">
        <v>179</v>
      </c>
      <c r="C188" s="5">
        <v>42</v>
      </c>
      <c r="D188" s="43" t="s">
        <v>143</v>
      </c>
      <c r="E188" s="8">
        <v>1762889019</v>
      </c>
      <c r="F188" s="19">
        <v>1786107641.7</v>
      </c>
      <c r="G188" s="21"/>
      <c r="H188" s="21"/>
      <c r="I188" s="8">
        <f t="shared" si="11"/>
        <v>1786107641.7</v>
      </c>
      <c r="J188" s="19">
        <v>473472239.01999998</v>
      </c>
      <c r="K188" s="21"/>
      <c r="L188" s="21"/>
      <c r="M188" s="8">
        <f t="shared" si="9"/>
        <v>473472239.01999998</v>
      </c>
    </row>
    <row r="189" spans="1:13">
      <c r="A189" s="5">
        <v>61450500</v>
      </c>
      <c r="B189" s="5" t="s">
        <v>122</v>
      </c>
      <c r="C189" s="5">
        <v>42</v>
      </c>
      <c r="D189" s="43" t="s">
        <v>143</v>
      </c>
      <c r="E189" s="8">
        <v>25750000</v>
      </c>
      <c r="F189" s="19">
        <v>0</v>
      </c>
      <c r="G189" s="21"/>
      <c r="H189" s="21"/>
      <c r="I189" s="8">
        <f t="shared" si="11"/>
        <v>0</v>
      </c>
      <c r="J189" s="19">
        <v>0</v>
      </c>
      <c r="K189" s="21"/>
      <c r="L189" s="21"/>
      <c r="M189" s="8">
        <f t="shared" si="9"/>
        <v>0</v>
      </c>
    </row>
    <row r="190" spans="1:13">
      <c r="A190" s="5">
        <v>71010100</v>
      </c>
      <c r="B190" s="5" t="s">
        <v>369</v>
      </c>
      <c r="C190" s="5">
        <v>42</v>
      </c>
      <c r="D190" s="43" t="s">
        <v>143</v>
      </c>
      <c r="E190" s="8">
        <v>0</v>
      </c>
      <c r="F190" s="19">
        <v>0</v>
      </c>
      <c r="G190" s="21"/>
      <c r="H190" s="21"/>
      <c r="I190" s="8">
        <f t="shared" si="11"/>
        <v>0</v>
      </c>
      <c r="J190" s="19">
        <v>0</v>
      </c>
      <c r="K190" s="21"/>
      <c r="L190" s="21"/>
      <c r="M190" s="8">
        <f t="shared" si="9"/>
        <v>0</v>
      </c>
    </row>
    <row r="191" spans="1:13">
      <c r="A191" s="5">
        <v>71010101</v>
      </c>
      <c r="B191" s="5" t="s">
        <v>370</v>
      </c>
      <c r="C191" s="5">
        <v>42</v>
      </c>
      <c r="D191" s="43" t="s">
        <v>143</v>
      </c>
      <c r="E191" s="8">
        <v>0</v>
      </c>
      <c r="F191" s="19">
        <v>0</v>
      </c>
      <c r="G191" s="21"/>
      <c r="H191" s="21"/>
      <c r="I191" s="8">
        <f t="shared" si="11"/>
        <v>0</v>
      </c>
      <c r="J191" s="19">
        <v>0</v>
      </c>
      <c r="K191" s="21"/>
      <c r="L191" s="21"/>
      <c r="M191" s="8">
        <f t="shared" si="9"/>
        <v>0</v>
      </c>
    </row>
    <row r="192" spans="1:13">
      <c r="A192" s="5">
        <v>71010102</v>
      </c>
      <c r="B192" s="5" t="s">
        <v>371</v>
      </c>
      <c r="C192" s="5">
        <v>42</v>
      </c>
      <c r="D192" s="43" t="s">
        <v>143</v>
      </c>
      <c r="E192" s="8">
        <v>0</v>
      </c>
      <c r="F192" s="19">
        <v>0</v>
      </c>
      <c r="G192" s="21"/>
      <c r="H192" s="21"/>
      <c r="I192" s="8">
        <f t="shared" si="11"/>
        <v>0</v>
      </c>
      <c r="J192" s="19">
        <v>0</v>
      </c>
      <c r="K192" s="21"/>
      <c r="L192" s="21"/>
      <c r="M192" s="8">
        <f t="shared" si="9"/>
        <v>0</v>
      </c>
    </row>
    <row r="193" spans="1:16">
      <c r="A193" s="5">
        <v>74010106</v>
      </c>
      <c r="B193" s="5" t="s">
        <v>180</v>
      </c>
      <c r="C193" s="5">
        <v>42</v>
      </c>
      <c r="D193" s="43" t="s">
        <v>143</v>
      </c>
      <c r="E193" s="8">
        <v>5700736</v>
      </c>
      <c r="F193" s="19">
        <v>0</v>
      </c>
      <c r="G193" s="21"/>
      <c r="H193" s="21"/>
      <c r="I193" s="8">
        <f t="shared" si="11"/>
        <v>0</v>
      </c>
      <c r="J193" s="19">
        <v>0</v>
      </c>
      <c r="K193" s="21"/>
      <c r="L193" s="21"/>
      <c r="M193" s="8">
        <f t="shared" si="9"/>
        <v>0</v>
      </c>
    </row>
    <row r="194" spans="1:16">
      <c r="A194" s="5">
        <v>80000000</v>
      </c>
      <c r="B194" s="6" t="s">
        <v>141</v>
      </c>
      <c r="C194" s="6"/>
      <c r="D194" s="43" t="s">
        <v>131</v>
      </c>
      <c r="E194" s="8">
        <v>-2598400592.3099999</v>
      </c>
      <c r="F194" s="19">
        <v>-2413559254.6599998</v>
      </c>
      <c r="G194" s="21"/>
      <c r="H194" s="21"/>
      <c r="I194" s="8">
        <f t="shared" si="11"/>
        <v>-2413559254.6599998</v>
      </c>
      <c r="J194" s="19">
        <v>483366096.97000003</v>
      </c>
      <c r="K194" s="21"/>
      <c r="L194" s="21"/>
      <c r="M194" s="8">
        <f t="shared" si="9"/>
        <v>483366096.97000003</v>
      </c>
    </row>
    <row r="195" spans="1:16">
      <c r="E195" s="17">
        <f t="shared" ref="E195:I195" si="14">SUM(E4:E194)</f>
        <v>5.245208740234375E-6</v>
      </c>
      <c r="F195" s="17">
        <f t="shared" si="14"/>
        <v>0</v>
      </c>
      <c r="G195" s="17">
        <f t="shared" si="14"/>
        <v>0</v>
      </c>
      <c r="H195" s="17">
        <f t="shared" si="14"/>
        <v>0</v>
      </c>
      <c r="I195" s="17">
        <f t="shared" si="14"/>
        <v>9.5367431640625E-6</v>
      </c>
      <c r="J195" s="17">
        <f>SUM(J4:J194)</f>
        <v>-2.6226043701171875E-6</v>
      </c>
      <c r="K195" s="17">
        <f>SUM(K4:K194)</f>
        <v>0</v>
      </c>
      <c r="L195" s="17">
        <f>SUM(L4:L194)</f>
        <v>0</v>
      </c>
      <c r="M195" s="17">
        <f>SUM(M4:M194)</f>
        <v>-1.0251998901367188E-5</v>
      </c>
    </row>
    <row r="196" spans="1:16">
      <c r="H196" s="17">
        <f>G195-H195</f>
        <v>0</v>
      </c>
      <c r="L196" s="17">
        <f>K195-L195</f>
        <v>0</v>
      </c>
    </row>
    <row r="197" spans="1:16">
      <c r="A197" s="20" t="s">
        <v>188</v>
      </c>
      <c r="B197" s="20" t="s">
        <v>188</v>
      </c>
      <c r="C197" s="20" t="s">
        <v>188</v>
      </c>
      <c r="D197" s="48" t="s">
        <v>188</v>
      </c>
      <c r="E197" s="20" t="s">
        <v>188</v>
      </c>
      <c r="F197" s="20" t="s">
        <v>188</v>
      </c>
      <c r="G197" s="20" t="s">
        <v>188</v>
      </c>
      <c r="H197" s="20" t="s">
        <v>188</v>
      </c>
      <c r="I197" s="20" t="s">
        <v>188</v>
      </c>
      <c r="J197" s="20" t="s">
        <v>188</v>
      </c>
      <c r="K197" s="20" t="s">
        <v>188</v>
      </c>
      <c r="L197" s="20" t="s">
        <v>188</v>
      </c>
      <c r="M197" s="20" t="s">
        <v>188</v>
      </c>
      <c r="N197" s="20" t="s">
        <v>188</v>
      </c>
      <c r="O197" s="20" t="s">
        <v>188</v>
      </c>
      <c r="P197" s="20" t="s">
        <v>188</v>
      </c>
    </row>
  </sheetData>
  <autoFilter ref="A4:P197" xr:uid="{F03F891A-52DC-7140-9A6D-5A4F6396C3F8}"/>
  <mergeCells count="2">
    <mergeCell ref="G3:H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495D-4F22-F24F-8E75-214C8F0CFC2B}">
  <dimension ref="A3:H60"/>
  <sheetViews>
    <sheetView workbookViewId="0"/>
  </sheetViews>
  <sheetFormatPr baseColWidth="10" defaultColWidth="10.875" defaultRowHeight="15.75"/>
  <cols>
    <col min="1" max="1" width="53" style="1" bestFit="1" customWidth="1"/>
    <col min="2" max="4" width="23.875" style="1" bestFit="1" customWidth="1"/>
    <col min="5" max="5" width="10.875" style="1"/>
    <col min="6" max="8" width="11.5" style="1" bestFit="1" customWidth="1"/>
    <col min="9" max="16384" width="10.875" style="1"/>
  </cols>
  <sheetData>
    <row r="3" spans="1:8">
      <c r="A3" s="12" t="s">
        <v>148</v>
      </c>
      <c r="B3" s="1" t="s">
        <v>395</v>
      </c>
      <c r="C3" s="1" t="s">
        <v>381</v>
      </c>
      <c r="D3" s="1" t="s">
        <v>372</v>
      </c>
      <c r="F3" s="16">
        <v>2022</v>
      </c>
      <c r="G3" s="16">
        <v>2021</v>
      </c>
      <c r="H3" s="16">
        <v>2020</v>
      </c>
    </row>
    <row r="4" spans="1:8">
      <c r="A4" s="13">
        <v>10</v>
      </c>
      <c r="B4" s="1">
        <v>822622185.43999994</v>
      </c>
      <c r="C4" s="1">
        <v>1107717346.99</v>
      </c>
      <c r="D4" s="1">
        <v>437577221</v>
      </c>
      <c r="F4" s="1">
        <f>ROUND(B4/1000,0)</f>
        <v>822622</v>
      </c>
      <c r="G4" s="1">
        <f>ROUND(C4/1000,0)</f>
        <v>1107717</v>
      </c>
      <c r="H4" s="1">
        <f>ROUND(D4/1000,0)</f>
        <v>437577</v>
      </c>
    </row>
    <row r="5" spans="1:8">
      <c r="A5" s="14" t="s">
        <v>123</v>
      </c>
      <c r="B5" s="1">
        <v>770444212.23999989</v>
      </c>
      <c r="C5" s="1">
        <v>75718977.24000001</v>
      </c>
      <c r="D5" s="1">
        <v>437577221</v>
      </c>
    </row>
    <row r="6" spans="1:8">
      <c r="A6" s="14" t="s">
        <v>183</v>
      </c>
      <c r="B6" s="1">
        <v>52177973.200000048</v>
      </c>
      <c r="C6" s="1">
        <v>1031998369.75</v>
      </c>
      <c r="D6" s="1">
        <v>0</v>
      </c>
    </row>
    <row r="7" spans="1:8">
      <c r="A7" s="13">
        <v>11</v>
      </c>
      <c r="B7" s="1">
        <v>1789358481.3000002</v>
      </c>
      <c r="C7" s="1">
        <v>1965882887.0100002</v>
      </c>
      <c r="D7" s="1">
        <v>949204100.69000006</v>
      </c>
      <c r="F7" s="1">
        <f>ROUND(B7/1000,0)</f>
        <v>1789358</v>
      </c>
      <c r="G7" s="1">
        <f>ROUND(C7/1000,0)</f>
        <v>1965883</v>
      </c>
      <c r="H7" s="1">
        <f>ROUND(D7/1000,0)</f>
        <v>949204</v>
      </c>
    </row>
    <row r="8" spans="1:8">
      <c r="A8" s="14" t="s">
        <v>124</v>
      </c>
      <c r="B8" s="1">
        <v>1789358481.3000002</v>
      </c>
      <c r="C8" s="1">
        <v>1965882887.0100002</v>
      </c>
      <c r="D8" s="1">
        <v>949204100.69000006</v>
      </c>
    </row>
    <row r="9" spans="1:8">
      <c r="A9" s="13">
        <v>12</v>
      </c>
      <c r="B9" s="1">
        <v>425693292.99000001</v>
      </c>
      <c r="C9" s="1">
        <v>382364000</v>
      </c>
      <c r="D9" s="1">
        <v>457715142</v>
      </c>
      <c r="F9" s="1">
        <f>ROUND(B9/1000,0)</f>
        <v>425693</v>
      </c>
      <c r="G9" s="1">
        <f>ROUND(C9/1000,0)</f>
        <v>382364</v>
      </c>
      <c r="H9" s="1">
        <f>ROUND(D9/1000,0)</f>
        <v>457715</v>
      </c>
    </row>
    <row r="10" spans="1:8">
      <c r="A10" s="14" t="s">
        <v>125</v>
      </c>
      <c r="B10" s="1">
        <v>425693292.99000001</v>
      </c>
      <c r="C10" s="1">
        <v>382364000</v>
      </c>
      <c r="D10" s="1">
        <v>457715142</v>
      </c>
    </row>
    <row r="11" spans="1:8">
      <c r="A11" s="13">
        <v>13</v>
      </c>
      <c r="B11" s="1">
        <v>295522820.80000001</v>
      </c>
      <c r="C11" s="1">
        <v>362836175.73000002</v>
      </c>
      <c r="D11" s="1">
        <v>121343848</v>
      </c>
      <c r="F11" s="1">
        <f>ROUND(B11/1000,0)</f>
        <v>295523</v>
      </c>
      <c r="G11" s="1">
        <f>ROUND(C11/1000,0)</f>
        <v>362836</v>
      </c>
      <c r="H11" s="1">
        <f>ROUND(D11/1000,0)</f>
        <v>121344</v>
      </c>
    </row>
    <row r="12" spans="1:8">
      <c r="A12" s="14" t="s">
        <v>181</v>
      </c>
      <c r="B12" s="1">
        <v>295522820.80000001</v>
      </c>
      <c r="C12" s="1">
        <v>362836175.73000002</v>
      </c>
      <c r="D12" s="1">
        <v>121343848</v>
      </c>
    </row>
    <row r="13" spans="1:8">
      <c r="A13" s="13">
        <v>14</v>
      </c>
      <c r="B13" s="1">
        <v>3118237662.5500002</v>
      </c>
      <c r="C13" s="1">
        <v>817028809.12999988</v>
      </c>
      <c r="D13" s="1">
        <v>1362317110</v>
      </c>
      <c r="F13" s="1">
        <f>ROUND(B13/1000,0)</f>
        <v>3118238</v>
      </c>
      <c r="G13" s="1">
        <f>ROUND(C13/1000,0)</f>
        <v>817029</v>
      </c>
      <c r="H13" s="1">
        <f>ROUND(D13/1000,0)</f>
        <v>1362317</v>
      </c>
    </row>
    <row r="14" spans="1:8">
      <c r="A14" s="14" t="s">
        <v>128</v>
      </c>
      <c r="B14" s="1">
        <v>3118237662.5500002</v>
      </c>
      <c r="C14" s="1">
        <v>817028809.12999988</v>
      </c>
      <c r="D14" s="1">
        <v>1362317110</v>
      </c>
    </row>
    <row r="15" spans="1:8">
      <c r="A15" s="13">
        <v>15</v>
      </c>
      <c r="B15" s="1">
        <v>29901815203.059998</v>
      </c>
      <c r="C15" s="1">
        <v>30348375737.610001</v>
      </c>
      <c r="D15" s="1">
        <v>30544799658.759998</v>
      </c>
      <c r="F15" s="1">
        <f>ROUND(B15/1000,0)</f>
        <v>29901815</v>
      </c>
      <c r="G15" s="1">
        <f>ROUND(C15/1000,0)</f>
        <v>30348376</v>
      </c>
      <c r="H15" s="1">
        <f>ROUND(D15/1000,0)</f>
        <v>30544800</v>
      </c>
    </row>
    <row r="16" spans="1:8">
      <c r="A16" s="14" t="s">
        <v>129</v>
      </c>
      <c r="B16" s="1">
        <v>29901815203.059998</v>
      </c>
      <c r="C16" s="1">
        <v>30348375737.610001</v>
      </c>
      <c r="D16" s="1">
        <v>30544799658.759998</v>
      </c>
    </row>
    <row r="17" spans="1:8">
      <c r="A17" s="13">
        <v>16</v>
      </c>
      <c r="B17" s="1">
        <v>2.3283064365386963E-10</v>
      </c>
      <c r="C17" s="1">
        <v>1207606.1100000003</v>
      </c>
      <c r="D17" s="1">
        <v>8453242.7300000004</v>
      </c>
      <c r="F17" s="1">
        <f>ROUND(B17/1000,0)</f>
        <v>0</v>
      </c>
      <c r="G17" s="1">
        <f>ROUND(C17/1000,0)</f>
        <v>1208</v>
      </c>
      <c r="H17" s="1">
        <f>ROUND(D17/1000,0)</f>
        <v>8453</v>
      </c>
    </row>
    <row r="18" spans="1:8">
      <c r="A18" s="14" t="s">
        <v>190</v>
      </c>
      <c r="B18" s="1">
        <v>2.3283064365386963E-10</v>
      </c>
      <c r="C18" s="1">
        <v>1207606.1100000003</v>
      </c>
      <c r="D18" s="1">
        <v>8453242.7300000004</v>
      </c>
    </row>
    <row r="19" spans="1:8">
      <c r="A19" s="13">
        <v>17</v>
      </c>
      <c r="B19" s="1">
        <v>495800729.34000003</v>
      </c>
      <c r="C19" s="1">
        <v>508306772.71000004</v>
      </c>
      <c r="D19" s="1">
        <v>13784516</v>
      </c>
      <c r="F19" s="1">
        <f>ROUND(B19/1000,0)</f>
        <v>495801</v>
      </c>
      <c r="G19" s="1">
        <f>ROUND(C19/1000,0)</f>
        <v>508307</v>
      </c>
      <c r="H19" s="1">
        <f>ROUND(D19/1000,0)</f>
        <v>13785</v>
      </c>
    </row>
    <row r="20" spans="1:8">
      <c r="A20" s="14" t="s">
        <v>130</v>
      </c>
      <c r="B20" s="1">
        <v>495800729.34000003</v>
      </c>
      <c r="C20" s="1">
        <v>508306772.71000004</v>
      </c>
      <c r="D20" s="1">
        <v>13784516</v>
      </c>
    </row>
    <row r="21" spans="1:8">
      <c r="A21" s="13">
        <v>21</v>
      </c>
      <c r="B21" s="1">
        <v>-10919287628.84</v>
      </c>
      <c r="C21" s="1">
        <v>-10952191014.880001</v>
      </c>
      <c r="D21" s="1">
        <v>-9670123594.8700008</v>
      </c>
      <c r="F21" s="1">
        <f>ROUND(B21/1000,0)</f>
        <v>-10919288</v>
      </c>
      <c r="G21" s="1">
        <f>ROUND(C21/1000,0)</f>
        <v>-10952191</v>
      </c>
      <c r="H21" s="1">
        <f>ROUND(D21/1000,0)</f>
        <v>-9670124</v>
      </c>
    </row>
    <row r="22" spans="1:8">
      <c r="A22" s="14" t="s">
        <v>132</v>
      </c>
      <c r="B22" s="1">
        <v>-10919287628.549999</v>
      </c>
      <c r="C22" s="1">
        <v>-10942651364.59</v>
      </c>
      <c r="D22" s="1">
        <v>-9632348701</v>
      </c>
    </row>
    <row r="23" spans="1:8">
      <c r="A23" s="14" t="s">
        <v>191</v>
      </c>
      <c r="B23" s="1">
        <v>-0.28999999910593033</v>
      </c>
      <c r="C23" s="1">
        <v>-9539650.2899999991</v>
      </c>
      <c r="D23" s="1">
        <v>-37774893.869999997</v>
      </c>
    </row>
    <row r="24" spans="1:8">
      <c r="A24" s="13">
        <v>22</v>
      </c>
      <c r="B24" s="1">
        <v>-2222593232.5</v>
      </c>
      <c r="C24" s="1">
        <v>-1338298264.25</v>
      </c>
      <c r="D24" s="1">
        <v>-2336144698</v>
      </c>
      <c r="F24" s="1">
        <f>ROUND(B24/1000,0)</f>
        <v>-2222593</v>
      </c>
      <c r="G24" s="1">
        <f>ROUND(C24/1000,0)</f>
        <v>-1338298</v>
      </c>
      <c r="H24" s="1">
        <f>ROUND(D24/1000,0)</f>
        <v>-2336145</v>
      </c>
    </row>
    <row r="25" spans="1:8">
      <c r="A25" s="14" t="s">
        <v>136</v>
      </c>
      <c r="B25" s="1">
        <v>-2222593232.5</v>
      </c>
      <c r="C25" s="1">
        <v>-1338298264.25</v>
      </c>
      <c r="D25" s="1">
        <v>-2336144698</v>
      </c>
    </row>
    <row r="26" spans="1:8">
      <c r="A26" s="13">
        <v>23</v>
      </c>
      <c r="B26" s="1">
        <v>-135782251.47999999</v>
      </c>
      <c r="C26" s="1">
        <v>-517186732.02999997</v>
      </c>
      <c r="D26" s="1">
        <v>-219766879</v>
      </c>
      <c r="F26" s="1">
        <f>ROUND(B26/1000,0)</f>
        <v>-135782</v>
      </c>
      <c r="G26" s="1">
        <f>ROUND(C26/1000,0)</f>
        <v>-517187</v>
      </c>
      <c r="H26" s="1">
        <f>ROUND(D26/1000,0)</f>
        <v>-219767</v>
      </c>
    </row>
    <row r="27" spans="1:8">
      <c r="A27" s="14" t="s">
        <v>133</v>
      </c>
      <c r="B27" s="1">
        <v>-135782251.47999999</v>
      </c>
      <c r="C27" s="1">
        <v>-517186732.02999997</v>
      </c>
      <c r="D27" s="1">
        <v>-219766879</v>
      </c>
    </row>
    <row r="28" spans="1:8">
      <c r="A28" s="13">
        <v>24</v>
      </c>
      <c r="B28" s="1">
        <v>0</v>
      </c>
      <c r="C28" s="1">
        <v>0</v>
      </c>
      <c r="D28" s="1">
        <v>0</v>
      </c>
      <c r="F28" s="1">
        <f>ROUND(B28/1000,0)</f>
        <v>0</v>
      </c>
      <c r="G28" s="1">
        <f>ROUND(C28/1000,0)</f>
        <v>0</v>
      </c>
      <c r="H28" s="1">
        <f>ROUND(D28/1000,0)</f>
        <v>0</v>
      </c>
    </row>
    <row r="29" spans="1:8">
      <c r="A29" s="14" t="s">
        <v>126</v>
      </c>
      <c r="B29" s="1">
        <v>0</v>
      </c>
      <c r="C29" s="1">
        <v>0</v>
      </c>
      <c r="D29" s="1">
        <v>0</v>
      </c>
    </row>
    <row r="30" spans="1:8">
      <c r="A30" s="13">
        <v>28</v>
      </c>
      <c r="B30" s="1">
        <v>-1332132239.0799999</v>
      </c>
      <c r="C30" s="1">
        <v>-930154397.40999997</v>
      </c>
      <c r="D30" s="1">
        <v>-1172511485</v>
      </c>
      <c r="F30" s="1">
        <f>ROUND(B30/1000,0)</f>
        <v>-1332132</v>
      </c>
      <c r="G30" s="1">
        <f>ROUND(C30/1000,0)</f>
        <v>-930154</v>
      </c>
      <c r="H30" s="1">
        <f>ROUND(D30/1000,0)</f>
        <v>-1172511</v>
      </c>
    </row>
    <row r="31" spans="1:8">
      <c r="A31" s="14" t="s">
        <v>135</v>
      </c>
      <c r="B31" s="1">
        <v>-1332132239.0799999</v>
      </c>
      <c r="C31" s="1">
        <v>-930154397.40999997</v>
      </c>
      <c r="D31" s="1">
        <v>-1172511485</v>
      </c>
    </row>
    <row r="32" spans="1:8">
      <c r="A32" s="13">
        <v>29</v>
      </c>
      <c r="B32" s="1">
        <v>-595622024</v>
      </c>
      <c r="C32" s="1">
        <v>-595622024</v>
      </c>
      <c r="D32" s="1">
        <v>-595622024</v>
      </c>
      <c r="F32" s="1">
        <f>ROUND(B32/1000,0)</f>
        <v>-595622</v>
      </c>
      <c r="G32" s="1">
        <f>ROUND(C32/1000,0)</f>
        <v>-595622</v>
      </c>
      <c r="H32" s="1">
        <f>ROUND(D32/1000,0)</f>
        <v>-595622</v>
      </c>
    </row>
    <row r="33" spans="1:8">
      <c r="A33" s="14" t="s">
        <v>51</v>
      </c>
      <c r="B33" s="1">
        <v>-595622024</v>
      </c>
      <c r="C33" s="1">
        <v>-595622024</v>
      </c>
      <c r="D33" s="1">
        <v>-595622024</v>
      </c>
    </row>
    <row r="34" spans="1:8">
      <c r="A34" s="13">
        <v>31</v>
      </c>
      <c r="B34" s="1">
        <v>-32481759055.260002</v>
      </c>
      <c r="C34" s="1">
        <v>-32481759055.260002</v>
      </c>
      <c r="D34" s="1">
        <v>-27116624669</v>
      </c>
      <c r="F34" s="1">
        <f>ROUND(B34/1000,0)</f>
        <v>-32481759</v>
      </c>
      <c r="G34" s="1">
        <f>ROUND(C34/1000,0)</f>
        <v>-32481759</v>
      </c>
      <c r="H34" s="1">
        <f>ROUND(D34/1000,0)</f>
        <v>-27116625</v>
      </c>
    </row>
    <row r="35" spans="1:8">
      <c r="A35" s="14" t="s">
        <v>137</v>
      </c>
      <c r="B35" s="1">
        <v>-32481759055.260002</v>
      </c>
      <c r="C35" s="1">
        <v>-32481759055.260002</v>
      </c>
      <c r="D35" s="1">
        <v>-27116624669</v>
      </c>
    </row>
    <row r="36" spans="1:8">
      <c r="A36" s="13">
        <v>32</v>
      </c>
      <c r="B36" s="1">
        <v>-181715</v>
      </c>
      <c r="C36" s="1">
        <v>-181715</v>
      </c>
      <c r="D36" s="1">
        <v>-1692516101</v>
      </c>
      <c r="F36" s="1">
        <f>ROUND(B36/1000,0)</f>
        <v>-182</v>
      </c>
      <c r="G36" s="1">
        <f>ROUND(C36/1000,0)</f>
        <v>-182</v>
      </c>
      <c r="H36" s="1">
        <f>ROUND(D36/1000,0)</f>
        <v>-1692516</v>
      </c>
    </row>
    <row r="37" spans="1:8">
      <c r="A37" s="14" t="s">
        <v>137</v>
      </c>
      <c r="B37" s="1">
        <v>-181715</v>
      </c>
      <c r="C37" s="1">
        <v>-181715</v>
      </c>
      <c r="D37" s="1">
        <v>-1692516101</v>
      </c>
    </row>
    <row r="38" spans="1:8">
      <c r="A38" s="13">
        <v>37</v>
      </c>
      <c r="B38" s="1">
        <v>16160989071.610001</v>
      </c>
      <c r="C38" s="1">
        <v>16644355168.470001</v>
      </c>
      <c r="D38" s="1">
        <v>14230795912.620001</v>
      </c>
      <c r="F38" s="1">
        <f>ROUND(B38/1000,0)</f>
        <v>16160989</v>
      </c>
      <c r="G38" s="1">
        <f>ROUND(C38/1000,0)</f>
        <v>16644355</v>
      </c>
      <c r="H38" s="1">
        <f>ROUND(D38/1000,0)</f>
        <v>14230796</v>
      </c>
    </row>
    <row r="39" spans="1:8">
      <c r="A39" s="14" t="s">
        <v>138</v>
      </c>
      <c r="B39" s="1">
        <v>16160989071.610001</v>
      </c>
      <c r="C39" s="1">
        <v>16644355168.470001</v>
      </c>
      <c r="D39" s="1">
        <v>14230795912.620001</v>
      </c>
    </row>
    <row r="40" spans="1:8">
      <c r="A40" s="13">
        <v>38</v>
      </c>
      <c r="B40" s="1">
        <v>-5322681300.9300003</v>
      </c>
      <c r="C40" s="1">
        <v>-5322681300.9300003</v>
      </c>
      <c r="D40" s="1">
        <v>-5322681300.9300003</v>
      </c>
      <c r="F40" s="1">
        <f>ROUND(B40/1000,0)</f>
        <v>-5322681</v>
      </c>
      <c r="G40" s="1">
        <f>ROUND(C40/1000,0)</f>
        <v>-5322681</v>
      </c>
      <c r="H40" s="1">
        <f>ROUND(D40/1000,0)</f>
        <v>-5322681</v>
      </c>
    </row>
    <row r="41" spans="1:8">
      <c r="A41" s="14" t="s">
        <v>140</v>
      </c>
      <c r="B41" s="1">
        <v>-5322681300.9300003</v>
      </c>
      <c r="C41" s="1">
        <v>-5322681300.9300003</v>
      </c>
      <c r="D41" s="1">
        <v>-5322681300.9300003</v>
      </c>
    </row>
    <row r="42" spans="1:8">
      <c r="A42" s="13">
        <v>39</v>
      </c>
      <c r="B42" s="1">
        <v>0</v>
      </c>
      <c r="C42" s="1">
        <v>0</v>
      </c>
      <c r="D42" s="1">
        <v>0</v>
      </c>
      <c r="F42" s="1">
        <f>ROUND(B42/1000,0)</f>
        <v>0</v>
      </c>
      <c r="G42" s="1">
        <f>ROUND(C42/1000,0)</f>
        <v>0</v>
      </c>
      <c r="H42" s="1">
        <f>ROUND(D42/1000,0)</f>
        <v>0</v>
      </c>
    </row>
    <row r="43" spans="1:8">
      <c r="A43" s="14" t="s">
        <v>139</v>
      </c>
      <c r="B43" s="1">
        <v>0</v>
      </c>
      <c r="C43" s="1">
        <v>0</v>
      </c>
      <c r="D43" s="1">
        <v>0</v>
      </c>
    </row>
    <row r="44" spans="1:8">
      <c r="A44" s="13">
        <v>41</v>
      </c>
      <c r="B44" s="1">
        <v>-11311445048.880001</v>
      </c>
      <c r="C44" s="1">
        <v>-11087591544.739998</v>
      </c>
      <c r="D44" s="1">
        <v>-5424965514</v>
      </c>
      <c r="F44" s="1">
        <f>ROUND(B44/1000,0)</f>
        <v>-11311445</v>
      </c>
      <c r="G44" s="1">
        <f>ROUND(C44/1000,0)</f>
        <v>-11087592</v>
      </c>
      <c r="H44" s="1">
        <f>ROUND(D44/1000,0)</f>
        <v>-5424966</v>
      </c>
    </row>
    <row r="45" spans="1:8">
      <c r="A45" s="14" t="s">
        <v>142</v>
      </c>
      <c r="B45" s="1">
        <v>-11311445048.880001</v>
      </c>
      <c r="C45" s="1">
        <v>-11087591544.739998</v>
      </c>
      <c r="D45" s="1">
        <v>-5424965514</v>
      </c>
    </row>
    <row r="46" spans="1:8">
      <c r="A46" s="13">
        <v>42</v>
      </c>
      <c r="B46" s="1">
        <v>7818872841.7000008</v>
      </c>
      <c r="C46" s="1">
        <v>10371521530.27</v>
      </c>
      <c r="D46" s="1">
        <v>5045552231</v>
      </c>
      <c r="F46" s="1">
        <f>ROUND(B46/1000,0)</f>
        <v>7818873</v>
      </c>
      <c r="G46" s="1">
        <f>ROUND(C46/1000,0)</f>
        <v>10371522</v>
      </c>
      <c r="H46" s="1">
        <f>ROUND(D46/1000,0)</f>
        <v>5045552</v>
      </c>
    </row>
    <row r="47" spans="1:8">
      <c r="A47" s="14" t="s">
        <v>143</v>
      </c>
      <c r="B47" s="1">
        <v>7818872841.7000008</v>
      </c>
      <c r="C47" s="1">
        <v>10371521530.27</v>
      </c>
      <c r="D47" s="1">
        <v>5045552231</v>
      </c>
    </row>
    <row r="48" spans="1:8">
      <c r="A48" s="13">
        <v>51</v>
      </c>
      <c r="B48" s="1">
        <v>2143065763.3900001</v>
      </c>
      <c r="C48" s="1">
        <v>2249738262.6199999</v>
      </c>
      <c r="D48" s="1">
        <v>2032192396.8599999</v>
      </c>
      <c r="F48" s="1">
        <f>ROUND(B48/1000,0)</f>
        <v>2143066</v>
      </c>
      <c r="G48" s="1">
        <f>ROUND(C48/1000,0)</f>
        <v>2249738</v>
      </c>
      <c r="H48" s="1">
        <f>ROUND(D48/1000,0)</f>
        <v>2032192</v>
      </c>
    </row>
    <row r="49" spans="1:8">
      <c r="A49" s="14" t="s">
        <v>144</v>
      </c>
      <c r="B49" s="1">
        <v>2143065763.3900001</v>
      </c>
      <c r="C49" s="1">
        <v>2249738262.6199999</v>
      </c>
      <c r="D49" s="1">
        <v>2032192396.8599999</v>
      </c>
    </row>
    <row r="50" spans="1:8">
      <c r="A50" s="13">
        <v>52</v>
      </c>
      <c r="B50" s="1">
        <v>-44951637.509999998</v>
      </c>
      <c r="C50" s="1">
        <v>111587586.34</v>
      </c>
      <c r="D50" s="1">
        <v>-89328484</v>
      </c>
      <c r="F50" s="1">
        <f>ROUND(B50/1000,0)</f>
        <v>-44952</v>
      </c>
      <c r="G50" s="1">
        <f>ROUND(C50/1000,0)</f>
        <v>111588</v>
      </c>
      <c r="H50" s="1">
        <f>ROUND(D50/1000,0)</f>
        <v>-89328</v>
      </c>
    </row>
    <row r="51" spans="1:8">
      <c r="A51" s="14" t="s">
        <v>182</v>
      </c>
      <c r="B51" s="1">
        <v>-44951637.509999998</v>
      </c>
      <c r="C51" s="1">
        <v>111587586.34</v>
      </c>
      <c r="D51" s="1">
        <v>-89328484</v>
      </c>
    </row>
    <row r="52" spans="1:8">
      <c r="A52" s="13">
        <v>53</v>
      </c>
      <c r="B52" s="1">
        <v>762800183.49000001</v>
      </c>
      <c r="C52" s="1">
        <v>727413441.37</v>
      </c>
      <c r="D52" s="1">
        <v>760182407.45000005</v>
      </c>
      <c r="F52" s="1">
        <f>ROUND(B52/1000,0)</f>
        <v>762800</v>
      </c>
      <c r="G52" s="1">
        <f>ROUND(C52/1000,0)</f>
        <v>727413</v>
      </c>
      <c r="H52" s="1">
        <f>ROUND(D52/1000,0)</f>
        <v>760182</v>
      </c>
    </row>
    <row r="53" spans="1:8">
      <c r="A53" s="14" t="s">
        <v>145</v>
      </c>
      <c r="B53" s="1">
        <v>762800183.49000001</v>
      </c>
      <c r="C53" s="1">
        <v>727413441.37</v>
      </c>
      <c r="D53" s="1">
        <v>760182407.45000005</v>
      </c>
    </row>
    <row r="54" spans="1:8">
      <c r="A54" s="13">
        <v>54</v>
      </c>
      <c r="B54" s="1">
        <v>122962800.84</v>
      </c>
      <c r="C54" s="1">
        <v>-31927021.199999999</v>
      </c>
      <c r="D54" s="1">
        <v>120625555</v>
      </c>
      <c r="F54" s="1">
        <f>ROUND(B54/1000,0)</f>
        <v>122963</v>
      </c>
      <c r="G54" s="1">
        <f>ROUND(C54/1000,0)</f>
        <v>-31927</v>
      </c>
      <c r="H54" s="1">
        <f>ROUND(D54/1000,0)</f>
        <v>120626</v>
      </c>
    </row>
    <row r="55" spans="1:8">
      <c r="A55" s="14" t="s">
        <v>146</v>
      </c>
      <c r="B55" s="1">
        <v>122962800.84</v>
      </c>
      <c r="C55" s="1">
        <v>-31927021.199999999</v>
      </c>
      <c r="D55" s="1">
        <v>120625555</v>
      </c>
    </row>
    <row r="56" spans="1:8">
      <c r="A56" s="13">
        <v>55</v>
      </c>
      <c r="B56" s="1">
        <v>25329000</v>
      </c>
      <c r="C56" s="1">
        <v>72817000</v>
      </c>
      <c r="D56" s="1">
        <v>154142000</v>
      </c>
      <c r="F56" s="1">
        <f>ROUND(B56/1000,0)</f>
        <v>25329</v>
      </c>
      <c r="G56" s="1">
        <f>ROUND(C56/1000,0)</f>
        <v>72817</v>
      </c>
      <c r="H56" s="1">
        <f>ROUND(D56/1000,0)</f>
        <v>154142</v>
      </c>
    </row>
    <row r="57" spans="1:8">
      <c r="A57" s="14" t="s">
        <v>147</v>
      </c>
      <c r="B57" s="1">
        <v>25329000</v>
      </c>
      <c r="C57" s="1">
        <v>72817000</v>
      </c>
      <c r="D57" s="1">
        <v>154142000</v>
      </c>
    </row>
    <row r="58" spans="1:8">
      <c r="A58" s="13" t="s">
        <v>189</v>
      </c>
      <c r="B58" s="1">
        <v>483366096.97000003</v>
      </c>
      <c r="C58" s="1">
        <v>-2413559254.6599998</v>
      </c>
      <c r="D58" s="1">
        <v>-2598400592.3099999</v>
      </c>
      <c r="F58" s="1">
        <f>ROUND(B58/1000,0)</f>
        <v>483366</v>
      </c>
      <c r="G58" s="1">
        <f>ROUND(C58/1000,0)</f>
        <v>-2413559</v>
      </c>
      <c r="H58" s="1">
        <f>ROUND(D58/1000,0)</f>
        <v>-2598401</v>
      </c>
    </row>
    <row r="59" spans="1:8">
      <c r="A59" s="14" t="s">
        <v>131</v>
      </c>
      <c r="B59" s="1">
        <v>483366096.97000003</v>
      </c>
      <c r="C59" s="1">
        <v>-2413559254.6599998</v>
      </c>
      <c r="D59" s="1">
        <v>-2598400592.3099999</v>
      </c>
    </row>
    <row r="60" spans="1:8">
      <c r="A60" s="13" t="s">
        <v>149</v>
      </c>
      <c r="B60" s="1">
        <v>-7.7486038208007813E-6</v>
      </c>
      <c r="C60" s="1">
        <v>2.86102294921875E-6</v>
      </c>
      <c r="D60" s="1">
        <v>-1.9073486328125E-6</v>
      </c>
      <c r="F60" s="15">
        <f>SUM(F4:F59)</f>
        <v>0</v>
      </c>
      <c r="G60" s="15">
        <f t="shared" ref="G60:H60" si="0">SUM(G4:G59)</f>
        <v>1</v>
      </c>
      <c r="H60" s="15">
        <f t="shared" si="0"/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92F0-521D-6049-848F-070724FBBC55}">
  <dimension ref="A1:Z215"/>
  <sheetViews>
    <sheetView zoomScale="140" zoomScaleNormal="140" zoomScalePageLayoutView="150" workbookViewId="0"/>
  </sheetViews>
  <sheetFormatPr baseColWidth="10" defaultColWidth="10.875" defaultRowHeight="11.25"/>
  <cols>
    <col min="1" max="1" width="3.375" style="27" customWidth="1"/>
    <col min="2" max="2" width="28" style="27" customWidth="1"/>
    <col min="3" max="6" width="10.875" style="27" customWidth="1"/>
    <col min="7" max="7" width="10.875" style="28" customWidth="1"/>
    <col min="8" max="8" width="10.875" style="27" customWidth="1"/>
    <col min="9" max="9" width="3.375" style="27" customWidth="1"/>
    <col min="10" max="10" width="28" style="27" customWidth="1"/>
    <col min="11" max="14" width="10.875" style="27" customWidth="1"/>
    <col min="15" max="15" width="10.875" style="28" customWidth="1"/>
    <col min="16" max="16" width="10.875" style="27" hidden="1" customWidth="1"/>
    <col min="17" max="17" width="10.875" style="27" customWidth="1"/>
    <col min="18" max="18" width="3.375" style="27" customWidth="1"/>
    <col min="19" max="19" width="28" style="27" customWidth="1"/>
    <col min="20" max="20" width="10.875" style="27" customWidth="1"/>
    <col min="21" max="23" width="10.875" style="27"/>
    <col min="24" max="24" width="10.875" style="28"/>
    <col min="25" max="25" width="0" style="27" hidden="1" customWidth="1"/>
    <col min="26" max="16384" width="10.875" style="27"/>
  </cols>
  <sheetData>
    <row r="1" spans="2:26" ht="12.75">
      <c r="B1" s="26" t="s">
        <v>378</v>
      </c>
      <c r="J1" s="26" t="s">
        <v>378</v>
      </c>
      <c r="S1" s="26" t="s">
        <v>378</v>
      </c>
    </row>
    <row r="2" spans="2:26" ht="6" customHeight="1"/>
    <row r="3" spans="2:26">
      <c r="B3" s="29" t="s">
        <v>198</v>
      </c>
      <c r="J3" s="29" t="s">
        <v>198</v>
      </c>
      <c r="S3" s="29" t="s">
        <v>198</v>
      </c>
    </row>
    <row r="4" spans="2:26">
      <c r="B4" s="29" t="s">
        <v>373</v>
      </c>
      <c r="J4" s="29" t="s">
        <v>384</v>
      </c>
      <c r="S4" s="29" t="s">
        <v>510</v>
      </c>
    </row>
    <row r="5" spans="2:26">
      <c r="B5" s="29" t="s">
        <v>199</v>
      </c>
      <c r="J5" s="29" t="s">
        <v>199</v>
      </c>
      <c r="S5" s="29" t="s">
        <v>199</v>
      </c>
    </row>
    <row r="6" spans="2:26" ht="6" customHeight="1"/>
    <row r="7" spans="2:26">
      <c r="B7" s="29" t="s">
        <v>200</v>
      </c>
      <c r="J7" s="29" t="s">
        <v>200</v>
      </c>
      <c r="S7" s="29" t="s">
        <v>200</v>
      </c>
    </row>
    <row r="8" spans="2:26" ht="6" customHeight="1"/>
    <row r="9" spans="2:26">
      <c r="B9" s="29" t="s">
        <v>201</v>
      </c>
      <c r="H9" s="28"/>
      <c r="J9" s="29" t="s">
        <v>201</v>
      </c>
      <c r="S9" s="29" t="s">
        <v>201</v>
      </c>
    </row>
    <row r="10" spans="2:26" ht="6" customHeight="1"/>
    <row r="11" spans="2:26">
      <c r="B11" s="27" t="s">
        <v>265</v>
      </c>
      <c r="G11" s="28">
        <f>ESF_ERI_PYMES!H4</f>
        <v>437577</v>
      </c>
      <c r="H11" s="28"/>
      <c r="J11" s="27" t="s">
        <v>265</v>
      </c>
      <c r="O11" s="28">
        <f>ESF_ERI_PYMES!G4</f>
        <v>1107717</v>
      </c>
      <c r="S11" s="27" t="s">
        <v>265</v>
      </c>
      <c r="X11" s="28">
        <f>ESF_ERI_PYMES!F4</f>
        <v>822622</v>
      </c>
      <c r="Z11" s="28"/>
    </row>
    <row r="12" spans="2:26">
      <c r="B12" s="27" t="s">
        <v>266</v>
      </c>
      <c r="G12" s="28">
        <f>ESF_ERI_PYMES!H7</f>
        <v>949204</v>
      </c>
      <c r="H12" s="28"/>
      <c r="J12" s="27" t="s">
        <v>266</v>
      </c>
      <c r="O12" s="28">
        <f>ESF_ERI_PYMES!G7</f>
        <v>1965883</v>
      </c>
      <c r="S12" s="27" t="s">
        <v>266</v>
      </c>
      <c r="X12" s="28">
        <f>ESF_ERI_PYMES!F7</f>
        <v>1789358</v>
      </c>
    </row>
    <row r="13" spans="2:26">
      <c r="B13" s="27" t="s">
        <v>125</v>
      </c>
      <c r="G13" s="28">
        <f>ESF_ERI_PYMES!H9</f>
        <v>457715</v>
      </c>
      <c r="H13" s="28"/>
      <c r="J13" s="27" t="s">
        <v>125</v>
      </c>
      <c r="O13" s="28">
        <f>ESF_ERI_PYMES!G9</f>
        <v>382364</v>
      </c>
      <c r="S13" s="27" t="s">
        <v>125</v>
      </c>
      <c r="X13" s="28">
        <f>ESF_ERI_PYMES!F9</f>
        <v>425693</v>
      </c>
    </row>
    <row r="14" spans="2:26">
      <c r="B14" s="27" t="s">
        <v>181</v>
      </c>
      <c r="G14" s="28">
        <f>ESF_ERI_PYMES!H11</f>
        <v>121344</v>
      </c>
      <c r="H14" s="28"/>
      <c r="J14" s="27" t="s">
        <v>181</v>
      </c>
      <c r="O14" s="28">
        <f>ESF_ERI_PYMES!G11</f>
        <v>362836</v>
      </c>
      <c r="S14" s="27" t="s">
        <v>181</v>
      </c>
      <c r="X14" s="28">
        <f>ESF_ERI_PYMES!F11</f>
        <v>295523</v>
      </c>
      <c r="Z14" s="40"/>
    </row>
    <row r="15" spans="2:26">
      <c r="B15" s="27" t="s">
        <v>128</v>
      </c>
      <c r="G15" s="28">
        <f>ESF_ERI_PYMES!H13</f>
        <v>1362317</v>
      </c>
      <c r="H15" s="28"/>
      <c r="J15" s="27" t="s">
        <v>128</v>
      </c>
      <c r="O15" s="28">
        <f>ESF_ERI_PYMES!G13</f>
        <v>817029</v>
      </c>
      <c r="S15" s="27" t="s">
        <v>128</v>
      </c>
      <c r="X15" s="28">
        <f>ESF_ERI_PYMES!F13</f>
        <v>3118238</v>
      </c>
      <c r="Z15" s="40"/>
    </row>
    <row r="16" spans="2:26" ht="6" customHeight="1">
      <c r="H16" s="28"/>
      <c r="Z16" s="40"/>
    </row>
    <row r="17" spans="2:24">
      <c r="B17" s="29" t="s">
        <v>202</v>
      </c>
      <c r="G17" s="30">
        <f>SUM(G11:G16)</f>
        <v>3328157</v>
      </c>
      <c r="H17" s="28"/>
      <c r="J17" s="29" t="s">
        <v>202</v>
      </c>
      <c r="O17" s="30">
        <f>SUM(O11:O16)</f>
        <v>4635829</v>
      </c>
      <c r="S17" s="29" t="s">
        <v>202</v>
      </c>
      <c r="X17" s="30">
        <f>SUM(X11:X16)</f>
        <v>6451434</v>
      </c>
    </row>
    <row r="18" spans="2:24" ht="6" customHeight="1">
      <c r="H18" s="28"/>
    </row>
    <row r="19" spans="2:24">
      <c r="B19" s="29" t="s">
        <v>203</v>
      </c>
      <c r="H19" s="28"/>
      <c r="J19" s="29" t="s">
        <v>203</v>
      </c>
      <c r="S19" s="29" t="s">
        <v>203</v>
      </c>
    </row>
    <row r="20" spans="2:24" ht="6" customHeight="1">
      <c r="H20" s="28"/>
    </row>
    <row r="21" spans="2:24">
      <c r="B21" s="27" t="s">
        <v>129</v>
      </c>
      <c r="G21" s="28">
        <f>ESF_ERI_PYMES!H15</f>
        <v>30544800</v>
      </c>
      <c r="H21" s="28"/>
      <c r="J21" s="27" t="s">
        <v>129</v>
      </c>
      <c r="O21" s="28">
        <f>ESF_ERI_PYMES!G15</f>
        <v>30348376</v>
      </c>
      <c r="S21" s="27" t="s">
        <v>129</v>
      </c>
      <c r="X21" s="28">
        <f>ESF_ERI_PYMES!F15</f>
        <v>29901815</v>
      </c>
    </row>
    <row r="22" spans="2:24">
      <c r="B22" s="27" t="s">
        <v>190</v>
      </c>
      <c r="G22" s="28">
        <f>ESF_ERI_PYMES!H17</f>
        <v>8453</v>
      </c>
      <c r="H22" s="28"/>
      <c r="J22" s="27" t="s">
        <v>190</v>
      </c>
      <c r="O22" s="28">
        <f>ESF_ERI_PYMES!G17</f>
        <v>1208</v>
      </c>
      <c r="S22" s="27" t="s">
        <v>190</v>
      </c>
      <c r="X22" s="28">
        <f>ESF_ERI_PYMES!F17</f>
        <v>0</v>
      </c>
    </row>
    <row r="23" spans="2:24">
      <c r="B23" s="27" t="s">
        <v>130</v>
      </c>
      <c r="G23" s="28">
        <f>ESF_ERI_PYMES!H19</f>
        <v>13785</v>
      </c>
      <c r="H23" s="28"/>
      <c r="J23" s="27" t="s">
        <v>130</v>
      </c>
      <c r="O23" s="28">
        <f>ESF_ERI_PYMES!G19</f>
        <v>508307</v>
      </c>
      <c r="S23" s="27" t="s">
        <v>130</v>
      </c>
      <c r="X23" s="28">
        <f>ESF_ERI_PYMES!F19</f>
        <v>495801</v>
      </c>
    </row>
    <row r="24" spans="2:24" ht="6" customHeight="1">
      <c r="H24" s="28"/>
    </row>
    <row r="25" spans="2:24">
      <c r="B25" s="29" t="s">
        <v>204</v>
      </c>
      <c r="G25" s="30">
        <f>SUM(G21:G24)</f>
        <v>30567038</v>
      </c>
      <c r="H25" s="28"/>
      <c r="J25" s="29" t="s">
        <v>204</v>
      </c>
      <c r="O25" s="30">
        <f>SUM(O21:O24)</f>
        <v>30857891</v>
      </c>
      <c r="S25" s="29" t="s">
        <v>204</v>
      </c>
      <c r="X25" s="30">
        <f>SUM(X21:X24)</f>
        <v>30397616</v>
      </c>
    </row>
    <row r="26" spans="2:24" ht="6" customHeight="1">
      <c r="H26" s="28"/>
    </row>
    <row r="27" spans="2:24" ht="12" thickBot="1">
      <c r="B27" s="29" t="s">
        <v>205</v>
      </c>
      <c r="G27" s="31">
        <f>SUM(G17,G25)</f>
        <v>33895195</v>
      </c>
      <c r="H27" s="28"/>
      <c r="J27" s="29" t="s">
        <v>205</v>
      </c>
      <c r="O27" s="31">
        <f>SUM(O17,O25)</f>
        <v>35493720</v>
      </c>
      <c r="S27" s="29" t="s">
        <v>205</v>
      </c>
      <c r="X27" s="31">
        <f>SUM(X17,X25)</f>
        <v>36849050</v>
      </c>
    </row>
    <row r="28" spans="2:24" ht="6" customHeight="1" thickTop="1">
      <c r="H28" s="28"/>
    </row>
    <row r="29" spans="2:24">
      <c r="B29" s="29" t="s">
        <v>206</v>
      </c>
      <c r="H29" s="28"/>
      <c r="J29" s="29" t="s">
        <v>206</v>
      </c>
      <c r="S29" s="29" t="s">
        <v>206</v>
      </c>
    </row>
    <row r="30" spans="2:24" ht="6" customHeight="1">
      <c r="H30" s="28"/>
    </row>
    <row r="31" spans="2:24">
      <c r="B31" s="29" t="s">
        <v>207</v>
      </c>
      <c r="H31" s="28"/>
      <c r="J31" s="29" t="s">
        <v>207</v>
      </c>
      <c r="S31" s="29" t="s">
        <v>207</v>
      </c>
    </row>
    <row r="32" spans="2:24" ht="6" customHeight="1">
      <c r="H32" s="28"/>
    </row>
    <row r="33" spans="2:25">
      <c r="B33" s="27" t="s">
        <v>208</v>
      </c>
      <c r="G33" s="28">
        <f>-'HW PYMES'!N56</f>
        <v>53453</v>
      </c>
      <c r="H33" s="28"/>
      <c r="J33" s="27" t="s">
        <v>208</v>
      </c>
      <c r="O33" s="28">
        <f>-'HW PYMES'!N58</f>
        <v>63755</v>
      </c>
      <c r="P33" s="28">
        <f>O33-G33</f>
        <v>10302</v>
      </c>
      <c r="Q33" s="28"/>
      <c r="S33" s="27" t="s">
        <v>208</v>
      </c>
      <c r="X33" s="28">
        <f>-'HW PYMES'!N60</f>
        <v>40392</v>
      </c>
      <c r="Y33" s="28">
        <f>X33-O33</f>
        <v>-23363</v>
      </c>
    </row>
    <row r="34" spans="2:25">
      <c r="B34" s="27" t="s">
        <v>191</v>
      </c>
      <c r="G34" s="28">
        <f>-'HW PYMES'!N66</f>
        <v>28235</v>
      </c>
      <c r="H34" s="28"/>
      <c r="J34" s="27" t="s">
        <v>191</v>
      </c>
      <c r="O34" s="28">
        <f>-'HW PYMES'!N68</f>
        <v>9540</v>
      </c>
      <c r="P34" s="28">
        <f>O34-G34</f>
        <v>-18695</v>
      </c>
      <c r="Q34" s="28"/>
      <c r="S34" s="27" t="s">
        <v>191</v>
      </c>
      <c r="X34" s="28">
        <f>-'HW PYMES'!N70</f>
        <v>0</v>
      </c>
      <c r="Y34" s="28">
        <f>X34-O34</f>
        <v>-9540</v>
      </c>
    </row>
    <row r="35" spans="2:25">
      <c r="B35" s="27" t="s">
        <v>136</v>
      </c>
      <c r="G35" s="28">
        <f>-'HW PYMES'!N76</f>
        <v>2336145</v>
      </c>
      <c r="H35" s="28"/>
      <c r="J35" s="27" t="s">
        <v>136</v>
      </c>
      <c r="O35" s="28">
        <f>-'HW PYMES'!N78+1</f>
        <v>1338299</v>
      </c>
      <c r="S35" s="27" t="s">
        <v>136</v>
      </c>
      <c r="X35" s="28">
        <f>-'HW PYMES'!N80</f>
        <v>2222593</v>
      </c>
    </row>
    <row r="36" spans="2:25">
      <c r="B36" s="27" t="s">
        <v>209</v>
      </c>
      <c r="G36" s="28">
        <f>-ESF_ERI_PYMES!H26</f>
        <v>219767</v>
      </c>
      <c r="H36" s="28"/>
      <c r="J36" s="27" t="s">
        <v>209</v>
      </c>
      <c r="O36" s="28">
        <f>-ESF_ERI_PYMES!G26</f>
        <v>517187</v>
      </c>
      <c r="S36" s="27" t="s">
        <v>209</v>
      </c>
      <c r="X36" s="28">
        <f>-ESF_ERI_PYMES!F26</f>
        <v>135782</v>
      </c>
    </row>
    <row r="37" spans="2:25">
      <c r="B37" s="27" t="s">
        <v>126</v>
      </c>
      <c r="G37" s="28">
        <f>-ESF_ERI_PYMES!H28</f>
        <v>0</v>
      </c>
      <c r="H37" s="28"/>
      <c r="J37" s="27" t="s">
        <v>126</v>
      </c>
      <c r="O37" s="28">
        <f>-ESF_ERI_PYMES!G28</f>
        <v>0</v>
      </c>
      <c r="S37" s="27" t="s">
        <v>126</v>
      </c>
      <c r="X37" s="28">
        <f>-ESF_ERI_PYMES!F28</f>
        <v>0</v>
      </c>
    </row>
    <row r="38" spans="2:25">
      <c r="B38" s="27" t="s">
        <v>267</v>
      </c>
      <c r="G38" s="28">
        <f>-ESF_ERI_PYMES!H30</f>
        <v>1172511</v>
      </c>
      <c r="H38" s="28"/>
      <c r="J38" s="27" t="s">
        <v>267</v>
      </c>
      <c r="O38" s="28">
        <f>-ESF_ERI_PYMES!G30</f>
        <v>930154</v>
      </c>
      <c r="S38" s="27" t="s">
        <v>267</v>
      </c>
      <c r="X38" s="28">
        <f>-ESF_ERI_PYMES!F30</f>
        <v>1332132</v>
      </c>
    </row>
    <row r="39" spans="2:25" ht="6" customHeight="1">
      <c r="H39" s="28"/>
    </row>
    <row r="40" spans="2:25">
      <c r="B40" s="29" t="s">
        <v>210</v>
      </c>
      <c r="G40" s="30">
        <f>SUM(G33:G39)</f>
        <v>3810111</v>
      </c>
      <c r="H40" s="28"/>
      <c r="J40" s="29" t="s">
        <v>210</v>
      </c>
      <c r="O40" s="30">
        <f>SUM(O33:O39)</f>
        <v>2858935</v>
      </c>
      <c r="S40" s="29" t="s">
        <v>210</v>
      </c>
      <c r="X40" s="30">
        <f>SUM(X33:X39)</f>
        <v>3730899</v>
      </c>
    </row>
    <row r="41" spans="2:25" ht="6" customHeight="1">
      <c r="H41" s="28"/>
    </row>
    <row r="42" spans="2:25">
      <c r="B42" s="29" t="s">
        <v>211</v>
      </c>
      <c r="H42" s="28"/>
      <c r="J42" s="29" t="s">
        <v>211</v>
      </c>
      <c r="S42" s="29" t="s">
        <v>211</v>
      </c>
    </row>
    <row r="43" spans="2:25" ht="6" customHeight="1"/>
    <row r="44" spans="2:25">
      <c r="B44" s="27" t="s">
        <v>212</v>
      </c>
      <c r="G44" s="28">
        <f>-'HW PYMES'!O56</f>
        <v>9578896</v>
      </c>
      <c r="J44" s="27" t="s">
        <v>212</v>
      </c>
      <c r="O44" s="28">
        <f>-'HW PYMES'!O58</f>
        <v>10878896</v>
      </c>
      <c r="S44" s="27" t="s">
        <v>212</v>
      </c>
      <c r="X44" s="28">
        <f>-'HW PYMES'!O60</f>
        <v>10878896</v>
      </c>
    </row>
    <row r="45" spans="2:25">
      <c r="B45" s="27" t="s">
        <v>191</v>
      </c>
      <c r="G45" s="28">
        <f>-'HW PYMES'!O66</f>
        <v>9540</v>
      </c>
      <c r="H45" s="28"/>
      <c r="J45" s="27" t="s">
        <v>191</v>
      </c>
      <c r="O45" s="28">
        <f>-'HW PYMES'!O68</f>
        <v>0</v>
      </c>
      <c r="P45" s="28">
        <f>O45-G45</f>
        <v>-9540</v>
      </c>
      <c r="Q45" s="28"/>
      <c r="S45" s="27" t="s">
        <v>191</v>
      </c>
      <c r="X45" s="28">
        <f>-'HW PYMES'!O70</f>
        <v>0</v>
      </c>
      <c r="Y45" s="28">
        <f>X45-O45</f>
        <v>0</v>
      </c>
    </row>
    <row r="46" spans="2:25">
      <c r="B46" s="27" t="s">
        <v>136</v>
      </c>
      <c r="G46" s="28">
        <f>-'HW PYMES'!O76</f>
        <v>0</v>
      </c>
      <c r="J46" s="27" t="s">
        <v>136</v>
      </c>
      <c r="O46" s="28">
        <f>-'HW PYMES'!O78</f>
        <v>0</v>
      </c>
      <c r="S46" s="27" t="s">
        <v>136</v>
      </c>
      <c r="X46" s="28">
        <f>-'HW PYMES'!O80</f>
        <v>0</v>
      </c>
    </row>
    <row r="47" spans="2:25">
      <c r="B47" s="27" t="s">
        <v>213</v>
      </c>
      <c r="G47" s="28">
        <f>-ESF_ERI_PYMES!H32</f>
        <v>595622</v>
      </c>
      <c r="J47" s="27" t="s">
        <v>213</v>
      </c>
      <c r="O47" s="28">
        <f>-ESF_ERI_PYMES!G32</f>
        <v>595622</v>
      </c>
      <c r="S47" s="27" t="s">
        <v>213</v>
      </c>
      <c r="X47" s="28">
        <f>-ESF_ERI_PYMES!F32</f>
        <v>595622</v>
      </c>
    </row>
    <row r="48" spans="2:25" ht="6" customHeight="1"/>
    <row r="49" spans="2:26">
      <c r="B49" s="29" t="s">
        <v>214</v>
      </c>
      <c r="G49" s="30">
        <f>SUM(G44:G48)</f>
        <v>10184058</v>
      </c>
      <c r="J49" s="29" t="s">
        <v>214</v>
      </c>
      <c r="O49" s="30">
        <f>SUM(O44:O48)</f>
        <v>11474518</v>
      </c>
      <c r="S49" s="29" t="s">
        <v>214</v>
      </c>
      <c r="X49" s="30">
        <f>SUM(X44:X48)</f>
        <v>11474518</v>
      </c>
    </row>
    <row r="50" spans="2:26" ht="6" customHeight="1"/>
    <row r="51" spans="2:26" ht="12" thickBot="1">
      <c r="B51" s="29" t="s">
        <v>215</v>
      </c>
      <c r="G51" s="31">
        <f>SUM(G40,G49)</f>
        <v>13994169</v>
      </c>
      <c r="J51" s="29" t="s">
        <v>215</v>
      </c>
      <c r="O51" s="31">
        <f>SUM(O40,O49)</f>
        <v>14333453</v>
      </c>
      <c r="S51" s="29" t="s">
        <v>215</v>
      </c>
      <c r="X51" s="31">
        <f>SUM(X40,X49)</f>
        <v>15205417</v>
      </c>
    </row>
    <row r="52" spans="2:26" ht="6" customHeight="1" thickTop="1"/>
    <row r="53" spans="2:26">
      <c r="B53" s="29" t="s">
        <v>216</v>
      </c>
      <c r="J53" s="29" t="s">
        <v>216</v>
      </c>
      <c r="S53" s="29" t="s">
        <v>216</v>
      </c>
    </row>
    <row r="54" spans="2:26" ht="6" customHeight="1"/>
    <row r="55" spans="2:26">
      <c r="B55" s="27" t="s">
        <v>137</v>
      </c>
      <c r="G55" s="28">
        <f>-ESF_ERI_PYMES!H34</f>
        <v>27116625</v>
      </c>
      <c r="H55" s="28"/>
      <c r="J55" s="27" t="s">
        <v>137</v>
      </c>
      <c r="O55" s="28">
        <f>-ESF_ERI_PYMES!G34</f>
        <v>32481759</v>
      </c>
      <c r="P55" s="39"/>
      <c r="Q55" s="39"/>
      <c r="S55" s="27" t="s">
        <v>137</v>
      </c>
      <c r="X55" s="28">
        <f>-ESF_ERI_PYMES!F34</f>
        <v>32481759</v>
      </c>
      <c r="Y55" s="39"/>
    </row>
    <row r="56" spans="2:26">
      <c r="B56" s="27" t="s">
        <v>217</v>
      </c>
      <c r="G56" s="28">
        <f>-ESF_ERI_PYMES!H36</f>
        <v>1692516</v>
      </c>
      <c r="J56" s="27" t="s">
        <v>217</v>
      </c>
      <c r="O56" s="28">
        <f>-ESF_ERI_PYMES!G36</f>
        <v>182</v>
      </c>
      <c r="S56" s="27" t="s">
        <v>217</v>
      </c>
      <c r="X56" s="28">
        <f>-ESF_ERI_PYMES!F36</f>
        <v>182</v>
      </c>
    </row>
    <row r="57" spans="2:26">
      <c r="B57" s="27" t="s">
        <v>218</v>
      </c>
      <c r="G57" s="28">
        <f>-ESF_ERI_PYMES!H38</f>
        <v>-14230796</v>
      </c>
      <c r="J57" s="27" t="s">
        <v>218</v>
      </c>
      <c r="O57" s="28">
        <f>-ESF_ERI_PYMES!G38</f>
        <v>-16644355</v>
      </c>
      <c r="S57" s="27" t="s">
        <v>218</v>
      </c>
      <c r="X57" s="28">
        <f>-ESF_ERI_PYMES!F38</f>
        <v>-16160989</v>
      </c>
      <c r="Z57" s="28"/>
    </row>
    <row r="58" spans="2:26">
      <c r="B58" s="27" t="s">
        <v>219</v>
      </c>
      <c r="G58" s="28">
        <f>-ESF_ERI_PYMES!H40</f>
        <v>5322681</v>
      </c>
      <c r="J58" s="27" t="s">
        <v>219</v>
      </c>
      <c r="O58" s="28">
        <f>-ESF_ERI_PYMES!G40</f>
        <v>5322681</v>
      </c>
      <c r="S58" s="27" t="s">
        <v>219</v>
      </c>
      <c r="X58" s="28">
        <f>-ESF_ERI_PYMES!F40</f>
        <v>5322681</v>
      </c>
    </row>
    <row r="59" spans="2:26" ht="6" customHeight="1"/>
    <row r="60" spans="2:26" ht="12" thickBot="1">
      <c r="B60" s="29" t="s">
        <v>220</v>
      </c>
      <c r="G60" s="31">
        <f>SUM(G55:G59)</f>
        <v>19901026</v>
      </c>
      <c r="J60" s="29" t="s">
        <v>220</v>
      </c>
      <c r="O60" s="31">
        <f>SUM(O55:O59)</f>
        <v>21160267</v>
      </c>
      <c r="S60" s="29" t="s">
        <v>220</v>
      </c>
      <c r="X60" s="31">
        <f>SUM(X55:X59)</f>
        <v>21643633</v>
      </c>
    </row>
    <row r="61" spans="2:26" ht="6" customHeight="1" thickTop="1"/>
    <row r="62" spans="2:26" ht="12" thickBot="1">
      <c r="B62" s="29" t="s">
        <v>221</v>
      </c>
      <c r="G62" s="31">
        <f>SUM(G51,G60)</f>
        <v>33895195</v>
      </c>
      <c r="J62" s="29" t="s">
        <v>221</v>
      </c>
      <c r="O62" s="31">
        <f>SUM(O51,O60)</f>
        <v>35493720</v>
      </c>
      <c r="S62" s="29" t="s">
        <v>221</v>
      </c>
      <c r="X62" s="31">
        <f>SUM(X51,X60)</f>
        <v>36849050</v>
      </c>
    </row>
    <row r="63" spans="2:26" ht="12" thickTop="1"/>
    <row r="64" spans="2:26">
      <c r="C64" s="32"/>
      <c r="D64" s="32"/>
      <c r="E64" s="32"/>
      <c r="F64" s="32" t="s">
        <v>187</v>
      </c>
      <c r="G64" s="33">
        <f>G27-G62</f>
        <v>0</v>
      </c>
      <c r="K64" s="32"/>
      <c r="L64" s="32"/>
      <c r="M64" s="32"/>
      <c r="N64" s="32" t="s">
        <v>187</v>
      </c>
      <c r="O64" s="33">
        <f>O27-O62</f>
        <v>0</v>
      </c>
      <c r="T64" s="32"/>
      <c r="U64" s="32"/>
      <c r="V64" s="32"/>
      <c r="W64" s="32" t="s">
        <v>187</v>
      </c>
      <c r="X64" s="33">
        <f>X27-X62</f>
        <v>0</v>
      </c>
    </row>
    <row r="66" spans="1:24" s="28" customFormat="1" ht="12.75">
      <c r="A66" s="27"/>
      <c r="B66" s="26" t="s">
        <v>378</v>
      </c>
      <c r="C66" s="27"/>
      <c r="D66" s="27"/>
      <c r="E66" s="27"/>
      <c r="F66" s="27"/>
      <c r="H66" s="27"/>
      <c r="I66" s="27"/>
      <c r="J66" s="26" t="s">
        <v>378</v>
      </c>
      <c r="K66" s="27"/>
      <c r="L66" s="27"/>
      <c r="M66" s="27"/>
      <c r="N66" s="27"/>
      <c r="R66" s="27"/>
      <c r="S66" s="26" t="s">
        <v>378</v>
      </c>
      <c r="T66" s="27"/>
      <c r="U66" s="27"/>
      <c r="V66" s="27"/>
      <c r="W66" s="27"/>
    </row>
    <row r="67" spans="1:24" s="28" customFormat="1" ht="6" customHeight="1">
      <c r="A67" s="27"/>
      <c r="B67" s="27"/>
      <c r="C67" s="27"/>
      <c r="D67" s="27"/>
      <c r="E67" s="27"/>
      <c r="F67" s="27"/>
      <c r="H67" s="27"/>
      <c r="I67" s="27"/>
      <c r="J67" s="27"/>
      <c r="K67" s="27"/>
      <c r="L67" s="27"/>
      <c r="M67" s="27"/>
      <c r="N67" s="27"/>
      <c r="R67" s="27"/>
      <c r="S67" s="27"/>
      <c r="T67" s="27"/>
      <c r="U67" s="27"/>
      <c r="V67" s="27"/>
      <c r="W67" s="27"/>
    </row>
    <row r="68" spans="1:24" s="28" customFormat="1">
      <c r="A68" s="27"/>
      <c r="B68" s="29" t="s">
        <v>268</v>
      </c>
      <c r="C68" s="27"/>
      <c r="D68" s="27"/>
      <c r="E68" s="27"/>
      <c r="F68" s="27"/>
      <c r="H68" s="27"/>
      <c r="I68" s="27"/>
      <c r="J68" s="29" t="s">
        <v>268</v>
      </c>
      <c r="K68" s="27"/>
      <c r="L68" s="27"/>
      <c r="M68" s="27"/>
      <c r="N68" s="27"/>
      <c r="R68" s="27"/>
      <c r="S68" s="29" t="s">
        <v>268</v>
      </c>
      <c r="T68" s="27"/>
      <c r="U68" s="27"/>
      <c r="V68" s="27"/>
      <c r="W68" s="27"/>
    </row>
    <row r="69" spans="1:24" s="28" customFormat="1">
      <c r="A69" s="27"/>
      <c r="B69" s="29" t="s">
        <v>375</v>
      </c>
      <c r="C69" s="27"/>
      <c r="D69" s="27"/>
      <c r="E69" s="27"/>
      <c r="F69" s="27"/>
      <c r="H69" s="27"/>
      <c r="I69" s="27"/>
      <c r="J69" s="29" t="s">
        <v>385</v>
      </c>
      <c r="K69" s="27"/>
      <c r="L69" s="27"/>
      <c r="M69" s="27"/>
      <c r="N69" s="27"/>
      <c r="R69" s="27"/>
      <c r="S69" s="29" t="s">
        <v>511</v>
      </c>
      <c r="T69" s="27"/>
      <c r="U69" s="27"/>
      <c r="V69" s="27"/>
      <c r="W69" s="27"/>
    </row>
    <row r="70" spans="1:24" s="28" customFormat="1">
      <c r="A70" s="27"/>
      <c r="B70" s="29" t="s">
        <v>199</v>
      </c>
      <c r="C70" s="27"/>
      <c r="D70" s="27"/>
      <c r="E70" s="27"/>
      <c r="F70" s="27"/>
      <c r="H70" s="27"/>
      <c r="I70" s="27"/>
      <c r="J70" s="29" t="s">
        <v>199</v>
      </c>
      <c r="K70" s="27"/>
      <c r="L70" s="27"/>
      <c r="M70" s="27"/>
      <c r="N70" s="27"/>
      <c r="R70" s="27"/>
      <c r="S70" s="29" t="s">
        <v>199</v>
      </c>
      <c r="T70" s="27"/>
      <c r="U70" s="27"/>
      <c r="V70" s="27"/>
      <c r="W70" s="27"/>
    </row>
    <row r="71" spans="1:24" s="28" customFormat="1" ht="6" customHeight="1">
      <c r="A71" s="27"/>
      <c r="B71" s="27"/>
      <c r="C71" s="27"/>
      <c r="D71" s="27"/>
      <c r="E71" s="27"/>
      <c r="F71" s="27"/>
      <c r="H71" s="27"/>
      <c r="I71" s="27"/>
      <c r="J71" s="27"/>
      <c r="K71" s="27"/>
      <c r="L71" s="27"/>
      <c r="M71" s="27"/>
      <c r="N71" s="27"/>
      <c r="R71" s="27"/>
      <c r="S71" s="27"/>
      <c r="T71" s="27"/>
      <c r="U71" s="27"/>
      <c r="V71" s="27"/>
      <c r="W71" s="27"/>
    </row>
    <row r="72" spans="1:24" s="28" customFormat="1">
      <c r="A72" s="27"/>
      <c r="B72" s="27" t="s">
        <v>142</v>
      </c>
      <c r="C72" s="27"/>
      <c r="D72" s="27"/>
      <c r="E72" s="27"/>
      <c r="F72" s="27"/>
      <c r="G72" s="28">
        <f>-ESF_ERI_PYMES!H44</f>
        <v>5424966</v>
      </c>
      <c r="H72" s="27"/>
      <c r="I72" s="27"/>
      <c r="J72" s="27" t="s">
        <v>142</v>
      </c>
      <c r="K72" s="27"/>
      <c r="L72" s="27"/>
      <c r="M72" s="27"/>
      <c r="N72" s="27"/>
      <c r="O72" s="28">
        <f>-ESF_ERI_PYMES!G44</f>
        <v>11087592</v>
      </c>
      <c r="R72" s="27"/>
      <c r="S72" s="27" t="s">
        <v>142</v>
      </c>
      <c r="T72" s="27"/>
      <c r="U72" s="27"/>
      <c r="V72" s="27"/>
      <c r="W72" s="27"/>
      <c r="X72" s="28">
        <f>-ESF_ERI_PYMES!F44</f>
        <v>11311445</v>
      </c>
    </row>
    <row r="73" spans="1:24" s="28" customFormat="1">
      <c r="A73" s="27"/>
      <c r="B73" s="27" t="s">
        <v>143</v>
      </c>
      <c r="C73" s="27"/>
      <c r="D73" s="27"/>
      <c r="E73" s="27"/>
      <c r="F73" s="27"/>
      <c r="G73" s="28">
        <f>-ESF_ERI_PYMES!H46</f>
        <v>-5045552</v>
      </c>
      <c r="H73" s="27"/>
      <c r="I73" s="27"/>
      <c r="J73" s="27" t="s">
        <v>143</v>
      </c>
      <c r="K73" s="27"/>
      <c r="L73" s="27"/>
      <c r="M73" s="27"/>
      <c r="N73" s="27"/>
      <c r="O73" s="28">
        <f>-ESF_ERI_PYMES!G46</f>
        <v>-10371522</v>
      </c>
      <c r="R73" s="27"/>
      <c r="S73" s="27" t="s">
        <v>143</v>
      </c>
      <c r="T73" s="27"/>
      <c r="U73" s="27"/>
      <c r="V73" s="27"/>
      <c r="W73" s="27"/>
      <c r="X73" s="28">
        <f>-ESF_ERI_PYMES!F46</f>
        <v>-7818873</v>
      </c>
    </row>
    <row r="74" spans="1:24" s="28" customForma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R74" s="27"/>
      <c r="S74" s="27"/>
      <c r="T74" s="27"/>
      <c r="U74" s="27"/>
      <c r="V74" s="27"/>
      <c r="W74" s="27"/>
      <c r="X74" s="27"/>
    </row>
    <row r="75" spans="1:24" s="28" customFormat="1">
      <c r="A75" s="27"/>
      <c r="B75" s="27" t="s">
        <v>222</v>
      </c>
      <c r="C75" s="27"/>
      <c r="D75" s="27"/>
      <c r="E75" s="27"/>
      <c r="F75" s="27"/>
      <c r="G75" s="30">
        <f>SUM(G72:G73)</f>
        <v>379414</v>
      </c>
      <c r="H75" s="27"/>
      <c r="I75" s="27"/>
      <c r="J75" s="27" t="s">
        <v>222</v>
      </c>
      <c r="K75" s="27"/>
      <c r="L75" s="27"/>
      <c r="M75" s="27"/>
      <c r="N75" s="27"/>
      <c r="O75" s="30">
        <f>SUM(O72:O73)</f>
        <v>716070</v>
      </c>
      <c r="R75" s="27"/>
      <c r="S75" s="27" t="s">
        <v>222</v>
      </c>
      <c r="T75" s="27"/>
      <c r="U75" s="27"/>
      <c r="V75" s="27"/>
      <c r="W75" s="27"/>
      <c r="X75" s="30">
        <f>SUM(X72:X73)</f>
        <v>3492572</v>
      </c>
    </row>
    <row r="77" spans="1:24" s="28" customFormat="1">
      <c r="A77" s="27"/>
      <c r="B77" s="27" t="s">
        <v>223</v>
      </c>
      <c r="C77" s="27"/>
      <c r="D77" s="27"/>
      <c r="E77" s="27"/>
      <c r="F77" s="27"/>
      <c r="G77" s="28">
        <f>-ESF_ERI_PYMES!H48</f>
        <v>-2032192</v>
      </c>
      <c r="H77" s="27"/>
      <c r="I77" s="27"/>
      <c r="J77" s="27" t="s">
        <v>223</v>
      </c>
      <c r="K77" s="27"/>
      <c r="L77" s="27"/>
      <c r="M77" s="27"/>
      <c r="N77" s="27"/>
      <c r="O77" s="28">
        <f>-ESF_ERI_PYMES!G48</f>
        <v>-2249738</v>
      </c>
      <c r="R77" s="27"/>
      <c r="S77" s="27" t="s">
        <v>223</v>
      </c>
      <c r="T77" s="27"/>
      <c r="U77" s="27"/>
      <c r="V77" s="27"/>
      <c r="W77" s="27"/>
      <c r="X77" s="28">
        <f>-ESF_ERI_PYMES!F48</f>
        <v>-2143066</v>
      </c>
    </row>
    <row r="78" spans="1:24" s="33" customFormat="1">
      <c r="A78" s="32"/>
      <c r="B78" s="32" t="s">
        <v>224</v>
      </c>
      <c r="C78" s="32"/>
      <c r="D78" s="32"/>
      <c r="E78" s="32"/>
      <c r="F78" s="32"/>
      <c r="G78" s="33">
        <f>ROUND(-SUM('HW PYMES'!E100:E102)/1000,0)</f>
        <v>195515</v>
      </c>
      <c r="H78" s="32"/>
      <c r="I78" s="32"/>
      <c r="J78" s="32" t="s">
        <v>224</v>
      </c>
      <c r="K78" s="32"/>
      <c r="L78" s="32"/>
      <c r="M78" s="32"/>
      <c r="N78" s="32"/>
      <c r="O78" s="33">
        <f>ROUND(-SUM('HW PYMES'!I100:I102)/1000,0)</f>
        <v>20640</v>
      </c>
      <c r="R78" s="32"/>
      <c r="S78" s="32" t="s">
        <v>224</v>
      </c>
      <c r="T78" s="32"/>
      <c r="U78" s="32"/>
      <c r="V78" s="32"/>
      <c r="W78" s="32"/>
      <c r="X78" s="33">
        <f>ROUND(-SUM('HW PYMES'!M100:M102)/1000,0)</f>
        <v>103439</v>
      </c>
    </row>
    <row r="79" spans="1:24" s="33" customFormat="1">
      <c r="A79" s="32"/>
      <c r="B79" s="32" t="s">
        <v>225</v>
      </c>
      <c r="C79" s="32"/>
      <c r="D79" s="32"/>
      <c r="E79" s="32"/>
      <c r="F79" s="32"/>
      <c r="G79" s="33">
        <f>ROUND(-SUM('HW PYMES'!E178:E183)/1000,0)</f>
        <v>-106187</v>
      </c>
      <c r="H79" s="32"/>
      <c r="I79" s="32"/>
      <c r="J79" s="32" t="s">
        <v>225</v>
      </c>
      <c r="K79" s="32"/>
      <c r="L79" s="32"/>
      <c r="M79" s="32"/>
      <c r="N79" s="32"/>
      <c r="O79" s="33">
        <f>ROUND(-SUM('HW PYMES'!I178:I183)/1000,0)</f>
        <v>-132228</v>
      </c>
      <c r="R79" s="32"/>
      <c r="S79" s="32" t="s">
        <v>225</v>
      </c>
      <c r="T79" s="32"/>
      <c r="U79" s="32"/>
      <c r="V79" s="32"/>
      <c r="W79" s="32"/>
      <c r="X79" s="33">
        <f>ROUND(-SUM('HW PYMES'!M178:M183)/1000,0)+1</f>
        <v>-58486</v>
      </c>
    </row>
    <row r="80" spans="1:24" s="28" customFormat="1">
      <c r="A80" s="27"/>
      <c r="B80" s="27" t="s">
        <v>226</v>
      </c>
      <c r="C80" s="27"/>
      <c r="D80" s="27"/>
      <c r="E80" s="27"/>
      <c r="F80" s="27"/>
      <c r="G80" s="28">
        <f>SUM(G78:G79)</f>
        <v>89328</v>
      </c>
      <c r="H80" s="27"/>
      <c r="I80" s="27"/>
      <c r="J80" s="27" t="s">
        <v>226</v>
      </c>
      <c r="K80" s="27"/>
      <c r="L80" s="27"/>
      <c r="M80" s="27"/>
      <c r="N80" s="27"/>
      <c r="O80" s="28">
        <f>SUM(O78:O79)</f>
        <v>-111588</v>
      </c>
      <c r="R80" s="27"/>
      <c r="S80" s="27" t="s">
        <v>226</v>
      </c>
      <c r="T80" s="27"/>
      <c r="U80" s="27"/>
      <c r="V80" s="27"/>
      <c r="W80" s="27"/>
      <c r="X80" s="28">
        <f>SUM(X78:X79)</f>
        <v>44953</v>
      </c>
    </row>
    <row r="82" spans="1:24" s="28" customFormat="1">
      <c r="A82" s="27"/>
      <c r="B82" s="27" t="s">
        <v>227</v>
      </c>
      <c r="C82" s="27"/>
      <c r="D82" s="27"/>
      <c r="E82" s="27"/>
      <c r="F82" s="27"/>
      <c r="G82" s="30">
        <f>SUM(G75,G77,G80)</f>
        <v>-1563450</v>
      </c>
      <c r="H82" s="27"/>
      <c r="I82" s="27"/>
      <c r="J82" s="27" t="s">
        <v>227</v>
      </c>
      <c r="K82" s="27"/>
      <c r="L82" s="27"/>
      <c r="M82" s="27"/>
      <c r="N82" s="27"/>
      <c r="O82" s="30">
        <f>SUM(O75,O77,O80)</f>
        <v>-1645256</v>
      </c>
      <c r="R82" s="27"/>
      <c r="S82" s="27" t="s">
        <v>227</v>
      </c>
      <c r="T82" s="27"/>
      <c r="U82" s="27"/>
      <c r="V82" s="27"/>
      <c r="W82" s="27"/>
      <c r="X82" s="30">
        <f>SUM(X75,X77,X80)</f>
        <v>1394459</v>
      </c>
    </row>
    <row r="84" spans="1:24" s="33" customFormat="1">
      <c r="A84" s="32"/>
      <c r="B84" s="32" t="s">
        <v>228</v>
      </c>
      <c r="C84" s="32"/>
      <c r="D84" s="32"/>
      <c r="E84" s="32"/>
      <c r="F84" s="32"/>
      <c r="G84" s="33">
        <f>-ROUND(SUM('HW PYMES'!E97)/1000,0)</f>
        <v>0</v>
      </c>
      <c r="I84" s="32"/>
      <c r="J84" s="32" t="s">
        <v>228</v>
      </c>
      <c r="K84" s="32"/>
      <c r="L84" s="32"/>
      <c r="M84" s="32"/>
      <c r="N84" s="32"/>
      <c r="O84" s="33">
        <f>-ROUND(SUM('HW PYMES'!I97)/1000,0)</f>
        <v>2005</v>
      </c>
      <c r="R84" s="32"/>
      <c r="S84" s="32" t="s">
        <v>228</v>
      </c>
      <c r="T84" s="32"/>
      <c r="U84" s="32"/>
      <c r="V84" s="32"/>
      <c r="W84" s="32"/>
      <c r="X84" s="33">
        <f>-ROUND(SUM('HW PYMES'!M97)/1000,0)</f>
        <v>14202</v>
      </c>
    </row>
    <row r="85" spans="1:24" s="33" customFormat="1">
      <c r="A85" s="32"/>
      <c r="B85" s="32" t="s">
        <v>229</v>
      </c>
      <c r="C85" s="32"/>
      <c r="D85" s="32"/>
      <c r="E85" s="32"/>
      <c r="F85" s="32"/>
      <c r="G85" s="33">
        <f>-ROUND(SUM('HW PYMES'!E173:E176)/1000,0)</f>
        <v>-760182</v>
      </c>
      <c r="I85" s="32"/>
      <c r="J85" s="32" t="s">
        <v>229</v>
      </c>
      <c r="K85" s="32"/>
      <c r="L85" s="32"/>
      <c r="M85" s="32"/>
      <c r="N85" s="32"/>
      <c r="O85" s="33">
        <f>-ROUND(SUM('HW PYMES'!I173:I176)/1000,0)</f>
        <v>-729418</v>
      </c>
      <c r="R85" s="32"/>
      <c r="S85" s="32" t="s">
        <v>229</v>
      </c>
      <c r="T85" s="32"/>
      <c r="U85" s="32"/>
      <c r="V85" s="32"/>
      <c r="W85" s="32"/>
      <c r="X85" s="33">
        <f>-ROUND(SUM('HW PYMES'!M173:M176)/1000,0)</f>
        <v>-777003</v>
      </c>
    </row>
    <row r="86" spans="1:24" s="28" customFormat="1">
      <c r="A86" s="27"/>
      <c r="B86" s="27" t="s">
        <v>230</v>
      </c>
      <c r="C86" s="27"/>
      <c r="D86" s="27"/>
      <c r="E86" s="27"/>
      <c r="F86" s="27"/>
      <c r="G86" s="28">
        <f>SUM(G84:G85)</f>
        <v>-760182</v>
      </c>
      <c r="H86" s="27"/>
      <c r="I86" s="27"/>
      <c r="J86" s="27" t="s">
        <v>230</v>
      </c>
      <c r="K86" s="27"/>
      <c r="L86" s="27"/>
      <c r="M86" s="27"/>
      <c r="N86" s="27"/>
      <c r="O86" s="28">
        <f>SUM(O84:O85)</f>
        <v>-727413</v>
      </c>
      <c r="R86" s="27"/>
      <c r="S86" s="27" t="s">
        <v>230</v>
      </c>
      <c r="T86" s="27"/>
      <c r="U86" s="27"/>
      <c r="V86" s="27"/>
      <c r="W86" s="27"/>
      <c r="X86" s="28">
        <f>SUM(X84:X85)</f>
        <v>-762801</v>
      </c>
    </row>
    <row r="87" spans="1:24" s="28" customFormat="1">
      <c r="A87" s="27"/>
      <c r="B87" s="27" t="s">
        <v>146</v>
      </c>
      <c r="C87" s="27"/>
      <c r="D87" s="27"/>
      <c r="E87" s="27"/>
      <c r="F87" s="27"/>
      <c r="G87" s="28">
        <f>-ESF_ERI_PYMES!H54-1</f>
        <v>-120627</v>
      </c>
      <c r="H87" s="27"/>
      <c r="I87" s="27"/>
      <c r="J87" s="27" t="s">
        <v>146</v>
      </c>
      <c r="K87" s="27"/>
      <c r="L87" s="27"/>
      <c r="M87" s="27"/>
      <c r="N87" s="27"/>
      <c r="O87" s="28">
        <f>-ESF_ERI_PYMES!G54</f>
        <v>31927</v>
      </c>
      <c r="R87" s="27"/>
      <c r="S87" s="27" t="s">
        <v>146</v>
      </c>
      <c r="T87" s="27"/>
      <c r="U87" s="27"/>
      <c r="V87" s="27"/>
      <c r="W87" s="27"/>
      <c r="X87" s="28">
        <f>-ESF_ERI_PYMES!F54</f>
        <v>-122963</v>
      </c>
    </row>
    <row r="88" spans="1:24" s="28" customFormat="1">
      <c r="A88" s="27"/>
      <c r="B88" s="27"/>
      <c r="C88" s="27"/>
      <c r="D88" s="27"/>
      <c r="E88" s="27"/>
      <c r="F88" s="27"/>
      <c r="H88" s="27"/>
      <c r="I88" s="27"/>
      <c r="J88" s="27"/>
      <c r="K88" s="27"/>
      <c r="L88" s="27"/>
      <c r="M88" s="27"/>
      <c r="N88" s="27"/>
      <c r="R88" s="27"/>
      <c r="S88" s="27"/>
      <c r="T88" s="27"/>
      <c r="U88" s="27"/>
      <c r="V88" s="27"/>
      <c r="W88" s="27"/>
    </row>
    <row r="89" spans="1:24" s="28" customFormat="1">
      <c r="A89" s="27"/>
      <c r="B89" s="27"/>
      <c r="C89" s="27"/>
      <c r="D89" s="27"/>
      <c r="E89" s="27"/>
      <c r="F89" s="27"/>
      <c r="H89" s="27"/>
      <c r="I89" s="27"/>
      <c r="J89" s="27" t="s">
        <v>512</v>
      </c>
      <c r="K89" s="27"/>
      <c r="L89" s="27"/>
      <c r="M89" s="27"/>
      <c r="N89" s="27"/>
      <c r="O89" s="28" t="s">
        <v>513</v>
      </c>
      <c r="R89" s="27"/>
      <c r="S89" s="27" t="s">
        <v>512</v>
      </c>
      <c r="T89" s="27"/>
      <c r="U89" s="27"/>
      <c r="V89" s="27"/>
      <c r="W89" s="27"/>
      <c r="X89" s="28" t="s">
        <v>513</v>
      </c>
    </row>
    <row r="91" spans="1:24" s="28" customFormat="1">
      <c r="A91" s="27"/>
      <c r="B91" s="27" t="s">
        <v>231</v>
      </c>
      <c r="C91" s="27"/>
      <c r="D91" s="27"/>
      <c r="E91" s="27"/>
      <c r="F91" s="27"/>
      <c r="G91" s="30">
        <f>SUM(G82,G86:G87)</f>
        <v>-2444259</v>
      </c>
      <c r="H91" s="27"/>
      <c r="I91" s="27"/>
      <c r="J91" s="27" t="s">
        <v>231</v>
      </c>
      <c r="K91" s="27"/>
      <c r="L91" s="27"/>
      <c r="M91" s="27"/>
      <c r="N91" s="27"/>
      <c r="O91" s="30">
        <f>SUM(O82,O86:O87)</f>
        <v>-2340742</v>
      </c>
      <c r="R91" s="27"/>
      <c r="S91" s="27" t="s">
        <v>231</v>
      </c>
      <c r="T91" s="27"/>
      <c r="U91" s="27"/>
      <c r="V91" s="27"/>
      <c r="W91" s="27"/>
      <c r="X91" s="30">
        <f>SUM(X82,X86:X87)</f>
        <v>508695</v>
      </c>
    </row>
    <row r="93" spans="1:24" s="28" customFormat="1">
      <c r="A93" s="27"/>
      <c r="B93" s="27" t="s">
        <v>147</v>
      </c>
      <c r="C93" s="27"/>
      <c r="D93" s="27"/>
      <c r="E93" s="27"/>
      <c r="F93" s="27"/>
      <c r="G93" s="28">
        <f>-ESF_ERI_PYMES!H56</f>
        <v>-154142</v>
      </c>
      <c r="H93" s="27"/>
      <c r="I93" s="27"/>
      <c r="J93" s="27" t="s">
        <v>147</v>
      </c>
      <c r="K93" s="27"/>
      <c r="L93" s="27"/>
      <c r="M93" s="27"/>
      <c r="N93" s="27"/>
      <c r="O93" s="28">
        <f>-ESF_ERI_PYMES!G56</f>
        <v>-72817</v>
      </c>
      <c r="R93" s="27"/>
      <c r="S93" s="27" t="s">
        <v>147</v>
      </c>
      <c r="T93" s="27"/>
      <c r="U93" s="27"/>
      <c r="V93" s="27"/>
      <c r="W93" s="27"/>
      <c r="X93" s="28">
        <f>-ESF_ERI_PYMES!F56</f>
        <v>-25329</v>
      </c>
    </row>
    <row r="95" spans="1:24" s="28" customFormat="1">
      <c r="A95" s="27"/>
      <c r="B95" s="29" t="s">
        <v>270</v>
      </c>
      <c r="C95" s="27"/>
      <c r="D95" s="27"/>
      <c r="E95" s="27"/>
      <c r="F95" s="27"/>
      <c r="G95" s="30">
        <f>G91+G93</f>
        <v>-2598401</v>
      </c>
      <c r="I95" s="27"/>
      <c r="J95" s="29" t="s">
        <v>270</v>
      </c>
      <c r="K95" s="27"/>
      <c r="L95" s="27"/>
      <c r="M95" s="27"/>
      <c r="N95" s="27"/>
      <c r="O95" s="30">
        <f>O91+O93</f>
        <v>-2413559</v>
      </c>
      <c r="R95" s="27"/>
      <c r="S95" s="29" t="s">
        <v>377</v>
      </c>
      <c r="T95" s="27"/>
      <c r="U95" s="27"/>
      <c r="V95" s="27"/>
      <c r="W95" s="27"/>
      <c r="X95" s="30">
        <f>X91+X93</f>
        <v>483366</v>
      </c>
    </row>
    <row r="97" spans="1:24" s="28" customFormat="1">
      <c r="A97" s="27"/>
      <c r="B97" s="27"/>
      <c r="C97" s="27"/>
      <c r="D97" s="27"/>
      <c r="E97" s="27"/>
      <c r="F97" s="27"/>
      <c r="H97" s="27"/>
      <c r="I97" s="27"/>
      <c r="J97" s="27"/>
      <c r="K97" s="27"/>
      <c r="L97" s="27"/>
      <c r="M97" s="27"/>
      <c r="N97" s="32" t="s">
        <v>187</v>
      </c>
      <c r="O97" s="33">
        <f>O57-G57-O95</f>
        <v>0</v>
      </c>
      <c r="R97" s="27"/>
      <c r="S97" s="27"/>
      <c r="T97" s="27"/>
      <c r="U97" s="27"/>
      <c r="V97" s="27"/>
      <c r="W97" s="32" t="s">
        <v>187</v>
      </c>
      <c r="X97" s="33">
        <f>X57-O57-X95</f>
        <v>0</v>
      </c>
    </row>
    <row r="99" spans="1:24" s="28" customFormat="1" ht="12.75">
      <c r="A99" s="27"/>
      <c r="B99" s="27"/>
      <c r="C99" s="27"/>
      <c r="D99" s="27"/>
      <c r="E99" s="27"/>
      <c r="G99" s="27"/>
      <c r="H99" s="27"/>
      <c r="I99" s="27"/>
      <c r="J99" s="26" t="s">
        <v>378</v>
      </c>
      <c r="K99" s="27"/>
      <c r="L99" s="27"/>
      <c r="M99" s="27"/>
      <c r="O99" s="27"/>
      <c r="R99" s="27"/>
      <c r="S99" s="27"/>
      <c r="T99" s="27"/>
      <c r="U99" s="27"/>
      <c r="V99" s="27"/>
      <c r="X99" s="27"/>
    </row>
    <row r="100" spans="1:24" s="28" customFormat="1">
      <c r="A100" s="27"/>
      <c r="B100" s="27"/>
      <c r="C100" s="27"/>
      <c r="D100" s="27"/>
      <c r="E100" s="27"/>
      <c r="G100" s="27"/>
      <c r="H100" s="27"/>
      <c r="I100" s="27"/>
      <c r="J100" s="29" t="s">
        <v>232</v>
      </c>
      <c r="K100" s="27"/>
      <c r="L100" s="27"/>
      <c r="M100" s="27"/>
      <c r="O100" s="27"/>
      <c r="R100" s="27"/>
      <c r="S100" s="27"/>
      <c r="T100" s="27"/>
      <c r="U100" s="27"/>
      <c r="V100" s="27"/>
      <c r="X100" s="27"/>
    </row>
    <row r="101" spans="1:24" s="28" customFormat="1">
      <c r="A101" s="27"/>
      <c r="B101" s="27"/>
      <c r="C101" s="27"/>
      <c r="D101" s="27"/>
      <c r="E101" s="27"/>
      <c r="G101" s="27"/>
      <c r="H101" s="27"/>
      <c r="I101" s="27"/>
      <c r="J101" s="29" t="s">
        <v>199</v>
      </c>
      <c r="K101" s="27"/>
      <c r="L101" s="27"/>
      <c r="M101" s="27"/>
      <c r="O101" s="27"/>
      <c r="R101" s="27"/>
      <c r="S101" s="27"/>
      <c r="T101" s="27"/>
      <c r="U101" s="27"/>
      <c r="V101" s="27"/>
      <c r="X101" s="27"/>
    </row>
    <row r="102" spans="1:24" s="28" customFormat="1">
      <c r="A102" s="27"/>
      <c r="B102" s="27"/>
      <c r="C102" s="27"/>
      <c r="D102" s="27"/>
      <c r="E102" s="27"/>
      <c r="G102" s="27"/>
      <c r="H102" s="27"/>
      <c r="I102" s="27"/>
      <c r="J102" s="27"/>
      <c r="K102" s="27"/>
      <c r="L102" s="27"/>
      <c r="M102" s="27"/>
      <c r="O102" s="27"/>
      <c r="R102" s="27"/>
      <c r="S102" s="27"/>
      <c r="T102" s="27"/>
      <c r="U102" s="27"/>
      <c r="V102" s="27"/>
      <c r="X102" s="27"/>
    </row>
    <row r="103" spans="1:24" s="28" customFormat="1" ht="45">
      <c r="A103" s="27"/>
      <c r="B103" s="27"/>
      <c r="C103" s="27"/>
      <c r="D103" s="27"/>
      <c r="E103" s="27"/>
      <c r="G103" s="27"/>
      <c r="H103" s="27"/>
      <c r="I103" s="27"/>
      <c r="J103" s="27"/>
      <c r="K103" s="34" t="s">
        <v>137</v>
      </c>
      <c r="L103" s="35" t="s">
        <v>233</v>
      </c>
      <c r="M103" s="35" t="s">
        <v>138</v>
      </c>
      <c r="N103" s="35" t="s">
        <v>193</v>
      </c>
      <c r="R103" s="27"/>
      <c r="S103" s="27"/>
      <c r="T103" s="27"/>
      <c r="U103" s="27"/>
      <c r="V103" s="27"/>
      <c r="X103" s="27"/>
    </row>
    <row r="104" spans="1:24" s="28" customFormat="1">
      <c r="A104" s="27"/>
      <c r="B104" s="27"/>
      <c r="C104" s="27"/>
      <c r="D104" s="27"/>
      <c r="E104" s="27"/>
      <c r="G104" s="27"/>
      <c r="H104" s="27"/>
      <c r="I104" s="27"/>
      <c r="J104" s="27"/>
      <c r="K104" s="27"/>
      <c r="L104" s="27"/>
      <c r="N104" s="27"/>
      <c r="R104" s="27"/>
      <c r="S104" s="27"/>
      <c r="T104" s="27"/>
      <c r="U104" s="27"/>
      <c r="V104" s="27"/>
      <c r="X104" s="27"/>
    </row>
    <row r="105" spans="1:24" s="28" customFormat="1">
      <c r="A105" s="27"/>
      <c r="B105" s="27"/>
      <c r="C105" s="27"/>
      <c r="D105" s="27"/>
      <c r="E105" s="27"/>
      <c r="G105" s="27"/>
      <c r="H105" s="27"/>
      <c r="I105" s="27"/>
      <c r="J105" s="29" t="s">
        <v>376</v>
      </c>
      <c r="K105" s="28">
        <f>G55</f>
        <v>27116625</v>
      </c>
      <c r="L105" s="28">
        <f>G56</f>
        <v>1692516</v>
      </c>
      <c r="M105" s="28">
        <f>SUM(G57:G58)</f>
        <v>-8908115</v>
      </c>
      <c r="N105" s="36">
        <f t="shared" ref="N105:N109" si="0">SUM(K105:M105)</f>
        <v>19901026</v>
      </c>
      <c r="O105" s="28">
        <f>N105-G60</f>
        <v>0</v>
      </c>
      <c r="R105" s="27"/>
      <c r="S105" s="27"/>
      <c r="T105" s="27"/>
      <c r="U105" s="27"/>
      <c r="V105" s="27"/>
      <c r="X105" s="27"/>
    </row>
    <row r="106" spans="1:24" s="28" customFormat="1">
      <c r="A106" s="27"/>
      <c r="B106" s="27"/>
      <c r="C106" s="27"/>
      <c r="D106" s="27"/>
      <c r="E106" s="27"/>
      <c r="G106" s="27"/>
      <c r="H106" s="27"/>
      <c r="I106" s="27"/>
      <c r="J106" s="37" t="s">
        <v>234</v>
      </c>
      <c r="K106" s="28">
        <f>-L106</f>
        <v>1692334</v>
      </c>
      <c r="L106" s="28">
        <f>L109-L105</f>
        <v>-1692334</v>
      </c>
      <c r="N106" s="28">
        <f t="shared" si="0"/>
        <v>0</v>
      </c>
      <c r="R106" s="27"/>
      <c r="S106" s="27"/>
      <c r="T106" s="27"/>
      <c r="U106" s="27"/>
      <c r="V106" s="27"/>
      <c r="X106" s="27"/>
    </row>
    <row r="107" spans="1:24" s="28" customFormat="1">
      <c r="A107" s="27"/>
      <c r="B107" s="27"/>
      <c r="C107" s="27"/>
      <c r="D107" s="27"/>
      <c r="E107" s="27"/>
      <c r="G107" s="27"/>
      <c r="H107" s="27"/>
      <c r="I107" s="27"/>
      <c r="J107" s="37" t="s">
        <v>235</v>
      </c>
      <c r="K107" s="28">
        <f>K109-K106-K105</f>
        <v>3672800</v>
      </c>
      <c r="N107" s="28">
        <f t="shared" si="0"/>
        <v>3672800</v>
      </c>
      <c r="R107" s="27"/>
      <c r="S107" s="27"/>
      <c r="T107" s="27"/>
      <c r="U107" s="27"/>
      <c r="V107" s="27"/>
      <c r="X107" s="27"/>
    </row>
    <row r="108" spans="1:24" s="28" customFormat="1">
      <c r="A108" s="27"/>
      <c r="B108" s="27"/>
      <c r="C108" s="27"/>
      <c r="D108" s="27"/>
      <c r="E108" s="27"/>
      <c r="G108" s="27"/>
      <c r="H108" s="27"/>
      <c r="I108" s="27"/>
      <c r="J108" s="37" t="s">
        <v>236</v>
      </c>
      <c r="K108" s="27"/>
      <c r="L108" s="27"/>
      <c r="M108" s="28">
        <f>M109-M105</f>
        <v>-2413559</v>
      </c>
      <c r="N108" s="28">
        <f t="shared" si="0"/>
        <v>-2413559</v>
      </c>
      <c r="O108" s="28">
        <f>M108-O95</f>
        <v>0</v>
      </c>
      <c r="R108" s="27"/>
      <c r="S108" s="27"/>
      <c r="T108" s="27"/>
      <c r="U108" s="27"/>
      <c r="V108" s="27"/>
      <c r="X108" s="27"/>
    </row>
    <row r="109" spans="1:24" s="28" customFormat="1">
      <c r="A109" s="27"/>
      <c r="B109" s="27"/>
      <c r="C109" s="27"/>
      <c r="D109" s="27"/>
      <c r="E109" s="27"/>
      <c r="G109" s="27"/>
      <c r="H109" s="27"/>
      <c r="I109" s="27"/>
      <c r="J109" s="29" t="s">
        <v>383</v>
      </c>
      <c r="K109" s="28">
        <f>O55</f>
        <v>32481759</v>
      </c>
      <c r="L109" s="28">
        <f>O56</f>
        <v>182</v>
      </c>
      <c r="M109" s="28">
        <f>SUM(O57:O58)</f>
        <v>-11321674</v>
      </c>
      <c r="N109" s="36">
        <f t="shared" si="0"/>
        <v>21160267</v>
      </c>
      <c r="O109" s="28">
        <f>N109-O60</f>
        <v>0</v>
      </c>
      <c r="R109" s="27"/>
      <c r="S109" s="27"/>
      <c r="T109" s="27"/>
      <c r="U109" s="27"/>
      <c r="V109" s="27"/>
      <c r="X109" s="27"/>
    </row>
    <row r="110" spans="1:24" s="28" customFormat="1">
      <c r="A110" s="27"/>
      <c r="B110" s="27"/>
      <c r="C110" s="27"/>
      <c r="D110" s="27"/>
      <c r="E110" s="27"/>
      <c r="G110" s="27"/>
      <c r="H110" s="27"/>
      <c r="I110" s="27"/>
      <c r="J110" s="37" t="s">
        <v>234</v>
      </c>
      <c r="N110" s="28">
        <f t="shared" ref="N110:N112" si="1">SUM(K110:M110)</f>
        <v>0</v>
      </c>
      <c r="R110" s="27"/>
      <c r="S110" s="27"/>
      <c r="T110" s="27"/>
      <c r="U110" s="27"/>
      <c r="V110" s="27"/>
      <c r="X110" s="27"/>
    </row>
    <row r="111" spans="1:24" s="28" customFormat="1">
      <c r="A111" s="27"/>
      <c r="B111" s="27"/>
      <c r="C111" s="27"/>
      <c r="D111" s="27"/>
      <c r="E111" s="27"/>
      <c r="G111" s="27"/>
      <c r="H111" s="27"/>
      <c r="I111" s="27"/>
      <c r="J111" s="37" t="s">
        <v>235</v>
      </c>
      <c r="N111" s="28">
        <f t="shared" si="1"/>
        <v>0</v>
      </c>
      <c r="R111" s="27"/>
      <c r="S111" s="27"/>
      <c r="T111" s="27"/>
      <c r="U111" s="27"/>
      <c r="V111" s="27"/>
      <c r="X111" s="27"/>
    </row>
    <row r="112" spans="1:24" s="28" customFormat="1">
      <c r="A112" s="27"/>
      <c r="B112" s="27"/>
      <c r="C112" s="27"/>
      <c r="D112" s="27"/>
      <c r="E112" s="27"/>
      <c r="G112" s="27"/>
      <c r="H112" s="27"/>
      <c r="I112" s="27"/>
      <c r="J112" s="37" t="s">
        <v>236</v>
      </c>
      <c r="K112" s="27"/>
      <c r="L112" s="27"/>
      <c r="M112" s="28">
        <f>M113-M109</f>
        <v>483366</v>
      </c>
      <c r="N112" s="28">
        <f t="shared" si="1"/>
        <v>483366</v>
      </c>
      <c r="O112" s="28">
        <f>M112-X95</f>
        <v>0</v>
      </c>
      <c r="R112" s="27"/>
      <c r="S112" s="27"/>
      <c r="T112" s="27"/>
      <c r="U112" s="27"/>
      <c r="V112" s="27"/>
      <c r="X112" s="27"/>
    </row>
    <row r="113" spans="1:26" s="28" customFormat="1">
      <c r="A113" s="27"/>
      <c r="B113" s="27"/>
      <c r="C113" s="27"/>
      <c r="D113" s="27"/>
      <c r="E113" s="27"/>
      <c r="G113" s="27"/>
      <c r="H113" s="27"/>
      <c r="I113" s="27"/>
      <c r="J113" s="29" t="s">
        <v>398</v>
      </c>
      <c r="K113" s="28">
        <f>X55</f>
        <v>32481759</v>
      </c>
      <c r="L113" s="28">
        <f>X56</f>
        <v>182</v>
      </c>
      <c r="M113" s="28">
        <f>SUM(X57:X58)</f>
        <v>-10838308</v>
      </c>
      <c r="N113" s="36">
        <f>SUM(K113:M113)</f>
        <v>21643633</v>
      </c>
      <c r="O113" s="28">
        <f>N113-X60</f>
        <v>0</v>
      </c>
      <c r="R113" s="27"/>
      <c r="S113" s="27"/>
      <c r="T113" s="27"/>
      <c r="U113" s="27"/>
      <c r="V113" s="27"/>
      <c r="X113" s="27"/>
    </row>
    <row r="114" spans="1:26">
      <c r="F114" s="28"/>
      <c r="G114" s="27"/>
      <c r="M114" s="28"/>
      <c r="W114" s="28"/>
      <c r="X114" s="27"/>
    </row>
    <row r="115" spans="1:26">
      <c r="F115" s="28"/>
      <c r="G115" s="27"/>
      <c r="K115" s="28">
        <f>K105+K106+K108-K109+K107</f>
        <v>0</v>
      </c>
      <c r="L115" s="28">
        <f t="shared" ref="L115:N115" si="2">L105+L106+L108-L109+L107</f>
        <v>0</v>
      </c>
      <c r="M115" s="28">
        <f t="shared" si="2"/>
        <v>0</v>
      </c>
      <c r="N115" s="28">
        <f t="shared" si="2"/>
        <v>0</v>
      </c>
      <c r="W115" s="28"/>
      <c r="X115" s="27"/>
    </row>
    <row r="116" spans="1:26">
      <c r="A116" s="28"/>
      <c r="I116" s="28"/>
      <c r="K116" s="28">
        <f>K109+K110+K112-K113+K111</f>
        <v>0</v>
      </c>
      <c r="L116" s="28">
        <f>L109+L110+L112-L113+L111</f>
        <v>0</v>
      </c>
      <c r="M116" s="28">
        <f>M109+M110+M112-M113+M111</f>
        <v>0</v>
      </c>
      <c r="N116" s="28">
        <f>N109+N110+N112-N113+N111</f>
        <v>0</v>
      </c>
      <c r="R116" s="28"/>
      <c r="X116" s="27"/>
    </row>
    <row r="117" spans="1:26">
      <c r="A117" s="28"/>
      <c r="I117" s="28"/>
      <c r="O117" s="27"/>
      <c r="R117" s="28"/>
      <c r="X117" s="27"/>
    </row>
    <row r="118" spans="1:26" ht="12.75">
      <c r="A118" s="28"/>
      <c r="J118" s="26" t="s">
        <v>378</v>
      </c>
      <c r="S118" s="26" t="s">
        <v>378</v>
      </c>
    </row>
    <row r="119" spans="1:26" ht="6" customHeight="1">
      <c r="A119" s="28"/>
    </row>
    <row r="120" spans="1:26">
      <c r="A120" s="28"/>
      <c r="J120" s="29" t="s">
        <v>237</v>
      </c>
      <c r="S120" s="29" t="s">
        <v>237</v>
      </c>
    </row>
    <row r="121" spans="1:26">
      <c r="A121" s="28"/>
      <c r="J121" s="29" t="s">
        <v>384</v>
      </c>
      <c r="S121" s="29" t="s">
        <v>510</v>
      </c>
    </row>
    <row r="122" spans="1:26">
      <c r="A122" s="28"/>
      <c r="J122" s="29" t="s">
        <v>199</v>
      </c>
      <c r="S122" s="29" t="s">
        <v>199</v>
      </c>
    </row>
    <row r="123" spans="1:26" ht="6" customHeight="1">
      <c r="A123" s="28"/>
    </row>
    <row r="124" spans="1:26" s="38" customFormat="1" ht="15.75">
      <c r="A124" s="28"/>
      <c r="B124" s="27"/>
      <c r="C124" s="27"/>
      <c r="D124" s="27"/>
      <c r="E124" s="27"/>
      <c r="F124" s="27"/>
      <c r="G124" s="28"/>
      <c r="H124" s="27"/>
      <c r="I124" s="27"/>
      <c r="P124" s="27"/>
      <c r="Q124" s="27"/>
      <c r="R124" s="27"/>
      <c r="Y124" s="27"/>
      <c r="Z124" s="27"/>
    </row>
    <row r="125" spans="1:26" s="28" customFormat="1">
      <c r="B125" s="27"/>
      <c r="C125" s="27"/>
      <c r="D125" s="27"/>
      <c r="E125" s="27"/>
      <c r="F125" s="27"/>
      <c r="H125" s="27"/>
      <c r="I125" s="29" t="s">
        <v>269</v>
      </c>
      <c r="K125" s="27"/>
      <c r="L125" s="27"/>
      <c r="M125" s="27"/>
      <c r="N125" s="27"/>
      <c r="P125" s="27"/>
      <c r="Q125" s="27"/>
      <c r="R125" s="29" t="s">
        <v>269</v>
      </c>
      <c r="T125" s="27"/>
      <c r="U125" s="27"/>
      <c r="V125" s="27"/>
      <c r="W125" s="27"/>
      <c r="Y125" s="27"/>
      <c r="Z125" s="27"/>
    </row>
    <row r="126" spans="1:26" s="28" customFormat="1">
      <c r="B126" s="27"/>
      <c r="C126" s="27"/>
      <c r="D126" s="27"/>
      <c r="E126" s="27"/>
      <c r="F126" s="27"/>
      <c r="H126" s="27"/>
      <c r="I126" s="27"/>
      <c r="J126" s="27" t="s">
        <v>270</v>
      </c>
      <c r="K126" s="27"/>
      <c r="L126" s="27"/>
      <c r="M126" s="27"/>
      <c r="N126" s="27"/>
      <c r="O126" s="28">
        <f>O95</f>
        <v>-2413559</v>
      </c>
      <c r="P126" s="27"/>
      <c r="Q126" s="27"/>
      <c r="R126" s="27"/>
      <c r="S126" s="27" t="s">
        <v>377</v>
      </c>
      <c r="T126" s="27"/>
      <c r="U126" s="27"/>
      <c r="V126" s="27"/>
      <c r="W126" s="27"/>
      <c r="X126" s="28">
        <f>X95</f>
        <v>483366</v>
      </c>
      <c r="Y126" s="27"/>
      <c r="Z126" s="27"/>
    </row>
    <row r="127" spans="1:26">
      <c r="A127" s="28"/>
      <c r="I127" s="29" t="s">
        <v>271</v>
      </c>
      <c r="R127" s="29" t="s">
        <v>271</v>
      </c>
    </row>
    <row r="128" spans="1:26">
      <c r="A128" s="28"/>
      <c r="J128" s="27" t="s">
        <v>238</v>
      </c>
      <c r="O128" s="28">
        <v>0</v>
      </c>
      <c r="S128" s="27" t="s">
        <v>238</v>
      </c>
      <c r="X128" s="28">
        <v>0</v>
      </c>
    </row>
    <row r="129" spans="1:25">
      <c r="A129" s="28"/>
      <c r="J129" s="27" t="s">
        <v>239</v>
      </c>
      <c r="O129" s="28">
        <f>P33+30771</f>
        <v>41073</v>
      </c>
      <c r="S129" s="27" t="s">
        <v>239</v>
      </c>
      <c r="X129" s="28">
        <v>39989.008549999911</v>
      </c>
    </row>
    <row r="130" spans="1:25">
      <c r="A130" s="28"/>
      <c r="J130" s="27" t="s">
        <v>272</v>
      </c>
      <c r="O130" s="28">
        <v>1165162</v>
      </c>
      <c r="P130" s="28"/>
      <c r="Q130" s="28"/>
      <c r="S130" s="27" t="s">
        <v>272</v>
      </c>
      <c r="X130" s="28">
        <v>1242322</v>
      </c>
      <c r="Y130" s="28"/>
    </row>
    <row r="131" spans="1:25">
      <c r="A131" s="28"/>
      <c r="J131" s="27" t="s">
        <v>273</v>
      </c>
      <c r="O131" s="28">
        <v>0</v>
      </c>
      <c r="S131" s="27" t="s">
        <v>273</v>
      </c>
      <c r="X131" s="28">
        <v>0</v>
      </c>
    </row>
    <row r="132" spans="1:25">
      <c r="A132" s="28"/>
      <c r="J132" s="27" t="s">
        <v>240</v>
      </c>
      <c r="O132" s="28">
        <v>0</v>
      </c>
      <c r="S132" s="27" t="s">
        <v>240</v>
      </c>
      <c r="X132" s="28">
        <v>0</v>
      </c>
    </row>
    <row r="133" spans="1:25">
      <c r="A133" s="28"/>
      <c r="J133" s="27" t="s">
        <v>274</v>
      </c>
      <c r="O133" s="28">
        <v>0</v>
      </c>
      <c r="S133" s="27" t="s">
        <v>274</v>
      </c>
      <c r="X133" s="28">
        <v>0</v>
      </c>
    </row>
    <row r="134" spans="1:25">
      <c r="A134" s="28"/>
      <c r="J134" s="27" t="s">
        <v>241</v>
      </c>
      <c r="O134" s="28">
        <v>0</v>
      </c>
      <c r="S134" s="27" t="s">
        <v>241</v>
      </c>
      <c r="X134" s="28">
        <v>0</v>
      </c>
    </row>
    <row r="135" spans="1:25">
      <c r="A135" s="28"/>
      <c r="J135" s="27" t="s">
        <v>275</v>
      </c>
      <c r="O135" s="28">
        <v>0</v>
      </c>
      <c r="S135" s="27" t="s">
        <v>275</v>
      </c>
      <c r="X135" s="28">
        <v>0</v>
      </c>
    </row>
    <row r="136" spans="1:25">
      <c r="A136" s="28"/>
      <c r="J136" s="27" t="s">
        <v>242</v>
      </c>
      <c r="O136" s="28">
        <v>0</v>
      </c>
      <c r="S136" s="27" t="s">
        <v>242</v>
      </c>
      <c r="X136" s="28">
        <v>0</v>
      </c>
    </row>
    <row r="137" spans="1:25">
      <c r="A137" s="28"/>
      <c r="J137" s="27" t="s">
        <v>243</v>
      </c>
      <c r="O137" s="28">
        <v>0</v>
      </c>
      <c r="S137" s="27" t="s">
        <v>243</v>
      </c>
      <c r="X137" s="28">
        <v>0</v>
      </c>
    </row>
    <row r="138" spans="1:25">
      <c r="A138" s="28"/>
      <c r="J138" s="27" t="s">
        <v>276</v>
      </c>
      <c r="O138" s="28">
        <v>0</v>
      </c>
      <c r="S138" s="27" t="s">
        <v>276</v>
      </c>
      <c r="X138" s="28">
        <v>-2733</v>
      </c>
    </row>
    <row r="139" spans="1:25">
      <c r="A139" s="28"/>
      <c r="J139" s="27" t="s">
        <v>277</v>
      </c>
      <c r="O139" s="28">
        <v>0</v>
      </c>
      <c r="S139" s="27" t="s">
        <v>277</v>
      </c>
      <c r="X139" s="28">
        <v>0</v>
      </c>
    </row>
    <row r="140" spans="1:25">
      <c r="A140" s="28"/>
      <c r="J140" s="27" t="s">
        <v>278</v>
      </c>
      <c r="O140" s="28">
        <v>0</v>
      </c>
      <c r="S140" s="27" t="s">
        <v>278</v>
      </c>
      <c r="X140" s="28">
        <v>0</v>
      </c>
    </row>
    <row r="141" spans="1:25">
      <c r="A141" s="28"/>
      <c r="I141" s="29" t="s">
        <v>304</v>
      </c>
      <c r="R141" s="29" t="s">
        <v>304</v>
      </c>
    </row>
    <row r="142" spans="1:25">
      <c r="A142" s="28"/>
      <c r="J142" s="27" t="s">
        <v>305</v>
      </c>
      <c r="O142" s="28">
        <f>-(O12-G12)</f>
        <v>-1016679</v>
      </c>
      <c r="S142" s="27" t="s">
        <v>305</v>
      </c>
      <c r="X142" s="28">
        <f>-(X12-O12)</f>
        <v>176525</v>
      </c>
    </row>
    <row r="143" spans="1:25">
      <c r="A143" s="28"/>
      <c r="J143" s="27" t="s">
        <v>306</v>
      </c>
      <c r="O143" s="28">
        <f>-(O13-G13)-1</f>
        <v>75350</v>
      </c>
      <c r="S143" s="27" t="s">
        <v>306</v>
      </c>
      <c r="X143" s="28">
        <f>-(X13-O13)</f>
        <v>-43329</v>
      </c>
    </row>
    <row r="144" spans="1:25">
      <c r="A144" s="28"/>
      <c r="J144" s="27" t="s">
        <v>307</v>
      </c>
      <c r="O144" s="28">
        <f>-(O14-G14)+(O37-G37)</f>
        <v>-241492</v>
      </c>
      <c r="S144" s="27" t="s">
        <v>307</v>
      </c>
      <c r="X144" s="28">
        <f>-(X14-O14)+(X37-O37)</f>
        <v>67313</v>
      </c>
    </row>
    <row r="145" spans="1:24">
      <c r="A145" s="28"/>
      <c r="J145" s="27" t="s">
        <v>308</v>
      </c>
      <c r="O145" s="28">
        <f>-(O15-G15)</f>
        <v>545288</v>
      </c>
      <c r="S145" s="27" t="s">
        <v>308</v>
      </c>
      <c r="X145" s="28">
        <f>-(X15-O15)</f>
        <v>-2301209</v>
      </c>
    </row>
    <row r="146" spans="1:24">
      <c r="A146" s="28"/>
      <c r="J146" s="27" t="s">
        <v>309</v>
      </c>
      <c r="O146" s="28">
        <f>O35-G35+O46-G46</f>
        <v>-997846</v>
      </c>
      <c r="S146" s="27" t="s">
        <v>309</v>
      </c>
      <c r="X146" s="28">
        <f>X35-O35+X46-O46</f>
        <v>884294</v>
      </c>
    </row>
    <row r="147" spans="1:24">
      <c r="A147" s="28"/>
      <c r="J147" s="27" t="s">
        <v>310</v>
      </c>
      <c r="O147" s="28">
        <f>O36-G36</f>
        <v>297420</v>
      </c>
      <c r="S147" s="27" t="s">
        <v>310</v>
      </c>
      <c r="X147" s="28">
        <f>X36-O36</f>
        <v>-381405</v>
      </c>
    </row>
    <row r="148" spans="1:24">
      <c r="A148" s="28"/>
      <c r="J148" s="27" t="s">
        <v>311</v>
      </c>
      <c r="O148" s="28">
        <f>O38-G38</f>
        <v>-242357</v>
      </c>
      <c r="S148" s="27" t="s">
        <v>311</v>
      </c>
      <c r="X148" s="28">
        <f>X38-O38</f>
        <v>401978</v>
      </c>
    </row>
    <row r="149" spans="1:24">
      <c r="A149" s="28"/>
      <c r="I149" s="29" t="s">
        <v>279</v>
      </c>
      <c r="O149" s="30">
        <f>SUM(O128:O148)</f>
        <v>-374081</v>
      </c>
      <c r="R149" s="29" t="s">
        <v>279</v>
      </c>
      <c r="X149" s="30">
        <f>SUM(X128:X148)</f>
        <v>83745.008549999911</v>
      </c>
    </row>
    <row r="150" spans="1:24" ht="12" thickBot="1">
      <c r="A150" s="28"/>
      <c r="I150" s="29" t="s">
        <v>280</v>
      </c>
      <c r="O150" s="31">
        <f>SUM(O126,O149)</f>
        <v>-2787640</v>
      </c>
      <c r="R150" s="29" t="s">
        <v>280</v>
      </c>
      <c r="X150" s="31">
        <f>SUM(X126,X149)</f>
        <v>567111.00854999991</v>
      </c>
    </row>
    <row r="151" spans="1:24" ht="12" thickTop="1">
      <c r="A151" s="28"/>
      <c r="J151" s="27" t="s">
        <v>244</v>
      </c>
      <c r="O151" s="28">
        <v>0</v>
      </c>
      <c r="S151" s="27" t="s">
        <v>244</v>
      </c>
      <c r="X151" s="28">
        <v>0</v>
      </c>
    </row>
    <row r="152" spans="1:24">
      <c r="A152" s="28"/>
      <c r="J152" s="27" t="s">
        <v>245</v>
      </c>
      <c r="O152" s="28">
        <v>0</v>
      </c>
      <c r="S152" s="27" t="s">
        <v>245</v>
      </c>
      <c r="X152" s="28">
        <v>0</v>
      </c>
    </row>
    <row r="153" spans="1:24">
      <c r="A153" s="28"/>
      <c r="J153" s="27" t="s">
        <v>246</v>
      </c>
      <c r="O153" s="28">
        <f>-O194</f>
        <v>686302</v>
      </c>
      <c r="S153" s="27" t="s">
        <v>246</v>
      </c>
      <c r="X153" s="28">
        <v>710959.99144999997</v>
      </c>
    </row>
    <row r="154" spans="1:24">
      <c r="A154" s="28"/>
      <c r="J154" s="27" t="s">
        <v>247</v>
      </c>
      <c r="O154" s="28">
        <f>-O84</f>
        <v>-2005</v>
      </c>
      <c r="S154" s="27" t="s">
        <v>247</v>
      </c>
      <c r="X154" s="28">
        <f>-X84</f>
        <v>-14202</v>
      </c>
    </row>
    <row r="155" spans="1:24">
      <c r="A155" s="28"/>
      <c r="J155" s="27" t="s">
        <v>248</v>
      </c>
      <c r="O155" s="28">
        <v>0</v>
      </c>
      <c r="S155" s="27" t="s">
        <v>248</v>
      </c>
      <c r="X155" s="28">
        <v>0</v>
      </c>
    </row>
    <row r="156" spans="1:24">
      <c r="A156" s="28"/>
      <c r="J156" s="27" t="s">
        <v>249</v>
      </c>
      <c r="O156" s="28">
        <v>0</v>
      </c>
      <c r="S156" s="27" t="s">
        <v>249</v>
      </c>
      <c r="X156" s="28">
        <v>0</v>
      </c>
    </row>
    <row r="157" spans="1:24" ht="12" thickBot="1">
      <c r="A157" s="28"/>
      <c r="I157" s="29" t="s">
        <v>281</v>
      </c>
      <c r="O157" s="31">
        <f>SUM(O150:O156)</f>
        <v>-2103343</v>
      </c>
      <c r="R157" s="29" t="s">
        <v>281</v>
      </c>
      <c r="X157" s="31">
        <f>SUM(X150:X156)</f>
        <v>1263869</v>
      </c>
    </row>
    <row r="158" spans="1:24" ht="12" thickTop="1">
      <c r="A158" s="28"/>
      <c r="I158" s="29" t="s">
        <v>282</v>
      </c>
      <c r="R158" s="29" t="s">
        <v>282</v>
      </c>
    </row>
    <row r="159" spans="1:24">
      <c r="A159" s="28"/>
      <c r="J159" s="27" t="s">
        <v>283</v>
      </c>
      <c r="O159" s="28">
        <v>0</v>
      </c>
      <c r="S159" s="27" t="s">
        <v>283</v>
      </c>
      <c r="X159" s="28">
        <v>0</v>
      </c>
    </row>
    <row r="160" spans="1:24">
      <c r="A160" s="28"/>
      <c r="J160" s="27" t="s">
        <v>250</v>
      </c>
      <c r="O160" s="28">
        <v>0</v>
      </c>
      <c r="S160" s="27" t="s">
        <v>250</v>
      </c>
      <c r="X160" s="28">
        <v>0</v>
      </c>
    </row>
    <row r="161" spans="1:25">
      <c r="A161" s="28"/>
      <c r="J161" s="27" t="s">
        <v>251</v>
      </c>
      <c r="O161" s="28">
        <v>0</v>
      </c>
      <c r="S161" s="27" t="s">
        <v>251</v>
      </c>
      <c r="X161" s="28">
        <v>0</v>
      </c>
    </row>
    <row r="162" spans="1:25">
      <c r="A162" s="28"/>
      <c r="J162" s="27" t="s">
        <v>252</v>
      </c>
      <c r="O162" s="28">
        <v>0</v>
      </c>
      <c r="S162" s="27" t="s">
        <v>252</v>
      </c>
      <c r="X162" s="28">
        <v>0</v>
      </c>
    </row>
    <row r="163" spans="1:25">
      <c r="A163" s="28"/>
      <c r="J163" s="27" t="s">
        <v>253</v>
      </c>
      <c r="O163" s="28">
        <v>0</v>
      </c>
      <c r="S163" s="27" t="s">
        <v>253</v>
      </c>
      <c r="X163" s="28">
        <v>0</v>
      </c>
    </row>
    <row r="164" spans="1:25">
      <c r="A164" s="28"/>
      <c r="J164" s="27" t="s">
        <v>254</v>
      </c>
      <c r="O164" s="28">
        <v>0</v>
      </c>
      <c r="S164" s="27" t="s">
        <v>254</v>
      </c>
      <c r="X164" s="28">
        <v>0</v>
      </c>
    </row>
    <row r="165" spans="1:25">
      <c r="A165" s="28"/>
      <c r="J165" s="27" t="s">
        <v>255</v>
      </c>
      <c r="O165" s="28">
        <v>0</v>
      </c>
      <c r="S165" s="27" t="s">
        <v>255</v>
      </c>
      <c r="X165" s="28">
        <v>21392</v>
      </c>
    </row>
    <row r="166" spans="1:25">
      <c r="A166" s="28"/>
      <c r="J166" s="27" t="s">
        <v>256</v>
      </c>
      <c r="O166" s="28">
        <v>-954942</v>
      </c>
      <c r="S166" s="27" t="s">
        <v>256</v>
      </c>
      <c r="X166" s="28">
        <v>-779604</v>
      </c>
      <c r="Y166" s="28"/>
    </row>
    <row r="167" spans="1:25">
      <c r="A167" s="28"/>
      <c r="J167" s="27" t="s">
        <v>257</v>
      </c>
      <c r="O167" s="28">
        <v>0</v>
      </c>
      <c r="S167" s="27" t="s">
        <v>257</v>
      </c>
      <c r="X167" s="28">
        <v>0</v>
      </c>
    </row>
    <row r="168" spans="1:25">
      <c r="A168" s="28"/>
      <c r="J168" s="27" t="s">
        <v>258</v>
      </c>
      <c r="O168" s="28">
        <v>-501072</v>
      </c>
      <c r="S168" s="27" t="s">
        <v>258</v>
      </c>
      <c r="X168" s="28">
        <v>-21104</v>
      </c>
    </row>
    <row r="169" spans="1:25">
      <c r="A169" s="28"/>
      <c r="J169" s="27" t="s">
        <v>259</v>
      </c>
      <c r="O169" s="28">
        <v>0</v>
      </c>
      <c r="S169" s="27" t="s">
        <v>259</v>
      </c>
      <c r="X169" s="28">
        <v>0</v>
      </c>
    </row>
    <row r="170" spans="1:25">
      <c r="A170" s="28"/>
      <c r="J170" s="27" t="s">
        <v>260</v>
      </c>
      <c r="O170" s="28">
        <v>0</v>
      </c>
      <c r="S170" s="27" t="s">
        <v>260</v>
      </c>
      <c r="X170" s="28">
        <v>0</v>
      </c>
    </row>
    <row r="171" spans="1:25">
      <c r="A171" s="28"/>
      <c r="J171" s="27" t="s">
        <v>284</v>
      </c>
      <c r="O171" s="28">
        <v>0</v>
      </c>
      <c r="S171" s="27" t="s">
        <v>284</v>
      </c>
      <c r="X171" s="28">
        <v>0</v>
      </c>
    </row>
    <row r="172" spans="1:25">
      <c r="A172" s="28"/>
      <c r="J172" s="27" t="s">
        <v>285</v>
      </c>
      <c r="O172" s="28">
        <v>0</v>
      </c>
      <c r="S172" s="27" t="s">
        <v>285</v>
      </c>
      <c r="X172" s="28">
        <v>0</v>
      </c>
    </row>
    <row r="173" spans="1:25">
      <c r="A173" s="28"/>
      <c r="J173" s="27" t="s">
        <v>286</v>
      </c>
      <c r="O173" s="28">
        <v>0</v>
      </c>
      <c r="S173" s="27" t="s">
        <v>286</v>
      </c>
      <c r="X173" s="28">
        <v>0</v>
      </c>
    </row>
    <row r="174" spans="1:25">
      <c r="A174" s="28"/>
      <c r="J174" s="27" t="s">
        <v>287</v>
      </c>
      <c r="O174" s="28">
        <v>0</v>
      </c>
      <c r="S174" s="27" t="s">
        <v>287</v>
      </c>
      <c r="X174" s="28">
        <v>0</v>
      </c>
    </row>
    <row r="175" spans="1:25">
      <c r="A175" s="28"/>
      <c r="J175" s="27" t="s">
        <v>288</v>
      </c>
      <c r="O175" s="28">
        <v>0</v>
      </c>
      <c r="S175" s="27" t="s">
        <v>288</v>
      </c>
      <c r="X175" s="28">
        <v>0</v>
      </c>
    </row>
    <row r="176" spans="1:25">
      <c r="A176" s="28"/>
      <c r="J176" s="27" t="s">
        <v>245</v>
      </c>
      <c r="O176" s="28">
        <v>0</v>
      </c>
      <c r="S176" s="27" t="s">
        <v>245</v>
      </c>
      <c r="X176" s="28">
        <v>0</v>
      </c>
    </row>
    <row r="177" spans="1:24">
      <c r="A177" s="28"/>
      <c r="J177" s="27" t="s">
        <v>246</v>
      </c>
      <c r="O177" s="28">
        <v>0</v>
      </c>
      <c r="S177" s="27" t="s">
        <v>246</v>
      </c>
      <c r="X177" s="28">
        <v>0</v>
      </c>
    </row>
    <row r="178" spans="1:24">
      <c r="A178" s="28"/>
      <c r="J178" s="27" t="s">
        <v>247</v>
      </c>
      <c r="O178" s="28">
        <f>-O154</f>
        <v>2005</v>
      </c>
      <c r="S178" s="27" t="s">
        <v>247</v>
      </c>
      <c r="X178" s="28">
        <f>-X154</f>
        <v>14202</v>
      </c>
    </row>
    <row r="179" spans="1:24">
      <c r="A179" s="28"/>
      <c r="J179" s="27" t="s">
        <v>248</v>
      </c>
      <c r="O179" s="28">
        <v>0</v>
      </c>
      <c r="S179" s="27" t="s">
        <v>248</v>
      </c>
      <c r="X179" s="28">
        <v>0</v>
      </c>
    </row>
    <row r="180" spans="1:24">
      <c r="A180" s="28"/>
      <c r="J180" s="27" t="s">
        <v>249</v>
      </c>
      <c r="O180" s="28">
        <v>0</v>
      </c>
      <c r="S180" s="27" t="s">
        <v>249</v>
      </c>
      <c r="X180" s="28">
        <v>0</v>
      </c>
    </row>
    <row r="181" spans="1:24" ht="12" thickBot="1">
      <c r="A181" s="28"/>
      <c r="I181" s="29" t="s">
        <v>289</v>
      </c>
      <c r="O181" s="31">
        <f>SUM(O159:O180)</f>
        <v>-1454009</v>
      </c>
      <c r="R181" s="29" t="s">
        <v>289</v>
      </c>
      <c r="X181" s="31">
        <f>SUM(X159:X180)</f>
        <v>-765114</v>
      </c>
    </row>
    <row r="182" spans="1:24" ht="12" thickTop="1">
      <c r="A182" s="28"/>
      <c r="I182" s="29" t="s">
        <v>290</v>
      </c>
      <c r="R182" s="29" t="s">
        <v>290</v>
      </c>
    </row>
    <row r="183" spans="1:24">
      <c r="A183" s="28"/>
      <c r="J183" s="27" t="s">
        <v>291</v>
      </c>
      <c r="O183" s="28">
        <v>0</v>
      </c>
      <c r="S183" s="27" t="s">
        <v>291</v>
      </c>
      <c r="X183" s="28">
        <v>0</v>
      </c>
    </row>
    <row r="184" spans="1:24">
      <c r="A184" s="28"/>
      <c r="J184" s="27" t="s">
        <v>292</v>
      </c>
      <c r="O184" s="28">
        <v>0</v>
      </c>
      <c r="S184" s="27" t="s">
        <v>292</v>
      </c>
      <c r="X184" s="28">
        <v>0</v>
      </c>
    </row>
    <row r="185" spans="1:24">
      <c r="A185" s="28"/>
      <c r="J185" s="27" t="s">
        <v>293</v>
      </c>
      <c r="O185" s="28">
        <f>O55+O56-G55-G56</f>
        <v>3672800</v>
      </c>
      <c r="S185" s="27" t="s">
        <v>293</v>
      </c>
      <c r="X185" s="28">
        <f>X55+X56-O55-O56</f>
        <v>0</v>
      </c>
    </row>
    <row r="186" spans="1:24">
      <c r="A186" s="28"/>
      <c r="J186" s="27" t="s">
        <v>294</v>
      </c>
      <c r="O186" s="28">
        <v>0</v>
      </c>
      <c r="S186" s="27" t="s">
        <v>294</v>
      </c>
      <c r="X186" s="28">
        <v>0</v>
      </c>
    </row>
    <row r="187" spans="1:24">
      <c r="A187" s="28"/>
      <c r="J187" s="27" t="s">
        <v>261</v>
      </c>
      <c r="O187" s="28">
        <v>0</v>
      </c>
      <c r="S187" s="27" t="s">
        <v>261</v>
      </c>
      <c r="X187" s="28">
        <v>0</v>
      </c>
    </row>
    <row r="188" spans="1:24">
      <c r="A188" s="28"/>
      <c r="J188" s="27" t="s">
        <v>262</v>
      </c>
      <c r="O188" s="28">
        <v>0</v>
      </c>
      <c r="S188" s="27" t="s">
        <v>262</v>
      </c>
      <c r="X188" s="28">
        <v>0</v>
      </c>
    </row>
    <row r="189" spans="1:24">
      <c r="A189" s="28"/>
      <c r="J189" s="27" t="s">
        <v>295</v>
      </c>
      <c r="O189" s="28">
        <f>O44-G44</f>
        <v>1300000</v>
      </c>
      <c r="S189" s="27" t="s">
        <v>295</v>
      </c>
      <c r="X189" s="28">
        <f>X44-O44</f>
        <v>0</v>
      </c>
    </row>
    <row r="190" spans="1:24">
      <c r="A190" s="28"/>
      <c r="J190" s="27" t="s">
        <v>296</v>
      </c>
      <c r="O190" s="27">
        <v>0</v>
      </c>
      <c r="S190" s="27" t="s">
        <v>296</v>
      </c>
      <c r="X190" s="27">
        <v>0</v>
      </c>
    </row>
    <row r="191" spans="1:24">
      <c r="A191" s="28"/>
      <c r="J191" s="27" t="s">
        <v>297</v>
      </c>
      <c r="O191" s="28">
        <v>-59006</v>
      </c>
      <c r="S191" s="27" t="s">
        <v>297</v>
      </c>
      <c r="X191" s="28">
        <v>-9540</v>
      </c>
    </row>
    <row r="192" spans="1:24">
      <c r="A192" s="28"/>
      <c r="J192" s="27" t="s">
        <v>284</v>
      </c>
      <c r="O192" s="27">
        <v>0</v>
      </c>
      <c r="S192" s="27" t="s">
        <v>284</v>
      </c>
      <c r="X192" s="27">
        <v>0</v>
      </c>
    </row>
    <row r="193" spans="1:24">
      <c r="A193" s="28"/>
      <c r="J193" s="27" t="s">
        <v>244</v>
      </c>
      <c r="O193" s="28">
        <v>0</v>
      </c>
      <c r="S193" s="27" t="s">
        <v>244</v>
      </c>
      <c r="X193" s="28">
        <v>0</v>
      </c>
    </row>
    <row r="194" spans="1:24">
      <c r="A194" s="28"/>
      <c r="J194" s="27" t="s">
        <v>246</v>
      </c>
      <c r="O194" s="28">
        <v>-686302</v>
      </c>
      <c r="S194" s="27" t="s">
        <v>246</v>
      </c>
      <c r="X194" s="28">
        <f>-773816-494</f>
        <v>-774310</v>
      </c>
    </row>
    <row r="195" spans="1:24">
      <c r="A195" s="28"/>
      <c r="J195" s="27" t="s">
        <v>248</v>
      </c>
      <c r="O195" s="28">
        <v>0</v>
      </c>
      <c r="S195" s="27" t="s">
        <v>248</v>
      </c>
      <c r="X195" s="28">
        <v>0</v>
      </c>
    </row>
    <row r="196" spans="1:24">
      <c r="A196" s="28"/>
      <c r="J196" s="27" t="s">
        <v>249</v>
      </c>
      <c r="O196" s="28">
        <v>0</v>
      </c>
      <c r="S196" s="27" t="s">
        <v>249</v>
      </c>
      <c r="X196" s="28">
        <v>0</v>
      </c>
    </row>
    <row r="197" spans="1:24" ht="12" thickBot="1">
      <c r="A197" s="28"/>
      <c r="I197" s="29" t="s">
        <v>298</v>
      </c>
      <c r="O197" s="31">
        <f>SUM(O183:O196)</f>
        <v>4227492</v>
      </c>
      <c r="R197" s="29" t="s">
        <v>298</v>
      </c>
      <c r="X197" s="31">
        <f>SUM(X183:X196)</f>
        <v>-783850</v>
      </c>
    </row>
    <row r="198" spans="1:24" ht="12" thickTop="1">
      <c r="A198" s="28"/>
      <c r="I198" s="29"/>
      <c r="O198" s="36"/>
      <c r="R198" s="29"/>
      <c r="X198" s="36"/>
    </row>
    <row r="199" spans="1:24" ht="12" thickBot="1">
      <c r="A199" s="28"/>
      <c r="I199" s="29" t="s">
        <v>299</v>
      </c>
      <c r="O199" s="31">
        <f>SUM(O157,O181,O197)</f>
        <v>670140</v>
      </c>
      <c r="R199" s="29" t="s">
        <v>299</v>
      </c>
      <c r="X199" s="31">
        <f>SUM(X157,X181,X197)</f>
        <v>-285095</v>
      </c>
    </row>
    <row r="200" spans="1:24" ht="12" thickTop="1">
      <c r="A200" s="28"/>
      <c r="J200" s="27" t="s">
        <v>300</v>
      </c>
      <c r="O200" s="28">
        <v>0</v>
      </c>
      <c r="S200" s="27" t="s">
        <v>300</v>
      </c>
      <c r="X200" s="28">
        <v>0</v>
      </c>
    </row>
    <row r="201" spans="1:24" ht="12" thickBot="1">
      <c r="A201" s="28"/>
      <c r="I201" s="29" t="s">
        <v>301</v>
      </c>
      <c r="O201" s="31">
        <f>SUM(O199:O200)</f>
        <v>670140</v>
      </c>
      <c r="R201" s="29" t="s">
        <v>301</v>
      </c>
      <c r="X201" s="31">
        <f>SUM(X199:X200)</f>
        <v>-285095</v>
      </c>
    </row>
    <row r="202" spans="1:24" ht="12" thickTop="1">
      <c r="A202" s="28"/>
      <c r="I202" s="27" t="s">
        <v>263</v>
      </c>
      <c r="O202" s="28">
        <f>G11</f>
        <v>437577</v>
      </c>
      <c r="R202" s="27" t="s">
        <v>263</v>
      </c>
      <c r="X202" s="28">
        <f>O11</f>
        <v>1107717</v>
      </c>
    </row>
    <row r="203" spans="1:24">
      <c r="A203" s="28"/>
      <c r="I203" s="27" t="s">
        <v>264</v>
      </c>
      <c r="O203" s="28">
        <f>O11</f>
        <v>1107717</v>
      </c>
      <c r="R203" s="27" t="s">
        <v>264</v>
      </c>
      <c r="X203" s="28">
        <f>X11</f>
        <v>822622</v>
      </c>
    </row>
    <row r="204" spans="1:24">
      <c r="A204" s="28"/>
      <c r="N204" s="32" t="s">
        <v>302</v>
      </c>
      <c r="O204" s="28">
        <f>O203-O202</f>
        <v>670140</v>
      </c>
      <c r="W204" s="32" t="s">
        <v>302</v>
      </c>
      <c r="X204" s="28">
        <f>X203-X202</f>
        <v>-285095</v>
      </c>
    </row>
    <row r="205" spans="1:24">
      <c r="A205" s="28"/>
      <c r="N205" s="32" t="s">
        <v>187</v>
      </c>
      <c r="O205" s="28">
        <f>O204-O201</f>
        <v>0</v>
      </c>
      <c r="W205" s="32" t="s">
        <v>187</v>
      </c>
      <c r="X205" s="28">
        <f>X204-X201</f>
        <v>0</v>
      </c>
    </row>
    <row r="206" spans="1:24">
      <c r="A206" s="28"/>
    </row>
    <row r="207" spans="1:24">
      <c r="A207" s="28"/>
    </row>
    <row r="208" spans="1:24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 Adicional</vt:lpstr>
      <vt:lpstr>HW PYMES</vt:lpstr>
      <vt:lpstr>ESF_ERI_PYMES</vt:lpstr>
      <vt:lpstr>EST 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ACCOUNTER03</cp:lastModifiedBy>
  <dcterms:created xsi:type="dcterms:W3CDTF">2020-01-27T20:52:33Z</dcterms:created>
  <dcterms:modified xsi:type="dcterms:W3CDTF">2022-12-19T14:05:01Z</dcterms:modified>
</cp:coreProperties>
</file>